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ennstateoffice365-my.sharepoint.com/personal/dxb80_psu_edu/Documents/AC and EM Books/AC Book/Excel_Code/"/>
    </mc:Choice>
  </mc:AlternateContent>
  <xr:revisionPtr revIDLastSave="1576" documentId="8_{B2FEBAE4-9E38-470F-B232-84AC3DC0DD95}" xr6:coauthVersionLast="47" xr6:coauthVersionMax="47" xr10:uidLastSave="{B5A9C042-2B6A-403E-BFF0-AB2F8339D63B}"/>
  <bookViews>
    <workbookView xWindow="28680" yWindow="-120" windowWidth="29040" windowHeight="15720" tabRatio="677" xr2:uid="{00000000-000D-0000-FFFF-FFFF00000000}"/>
  </bookViews>
  <sheets>
    <sheet name="Example_26.7" sheetId="19" r:id="rId1"/>
    <sheet name="Example_26.8" sheetId="20" r:id="rId2"/>
    <sheet name="Example_26.9" sheetId="21" r:id="rId3"/>
    <sheet name="Example_26.10" sheetId="22" r:id="rId4"/>
    <sheet name="Example_26.11" sheetId="23" r:id="rId5"/>
    <sheet name="Example_26.12" sheetId="24" r:id="rId6"/>
    <sheet name="Example_26.13" sheetId="25" r:id="rId7"/>
  </sheets>
  <definedNames>
    <definedName name="alpha">Example_26.7!$J$8</definedName>
    <definedName name="beam">Example_26.7!$H$16</definedName>
    <definedName name="inc">Example_26.7!$H$14</definedName>
    <definedName name="range">Example_26.7!$B$17</definedName>
    <definedName name="theta">Example_26.7!$J$6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9" l="1"/>
  <c r="I11" i="19"/>
  <c r="J11" i="19"/>
  <c r="F5" i="25"/>
  <c r="F8" i="25" s="1"/>
  <c r="F11" i="25" s="1"/>
  <c r="H41" i="24"/>
  <c r="H43" i="24" s="1"/>
  <c r="M11" i="24" s="1"/>
  <c r="H33" i="24"/>
  <c r="H31" i="24"/>
  <c r="H38" i="24" s="1"/>
  <c r="O13" i="24" s="1"/>
  <c r="H29" i="24"/>
  <c r="H36" i="24" s="1"/>
  <c r="N12" i="24" s="1"/>
  <c r="H26" i="24"/>
  <c r="J17" i="24"/>
  <c r="H14" i="24"/>
  <c r="J14" i="24" s="1"/>
  <c r="H11" i="24"/>
  <c r="J11" i="24" s="1"/>
  <c r="B28" i="24"/>
  <c r="H5" i="24" s="1"/>
  <c r="J3" i="24" s="1"/>
  <c r="B8" i="23"/>
  <c r="B11" i="23" s="1"/>
  <c r="B15" i="23" s="1"/>
  <c r="B12" i="22"/>
  <c r="B8" i="22"/>
  <c r="B4" i="22"/>
  <c r="H14" i="21" a="1"/>
  <c r="H15" i="21" s="1"/>
  <c r="C5" i="21"/>
  <c r="D5" i="21"/>
  <c r="C6" i="21"/>
  <c r="H19" i="21" s="1" a="1"/>
  <c r="H20" i="21" s="1"/>
  <c r="D6" i="21"/>
  <c r="C7" i="21"/>
  <c r="D7" i="21"/>
  <c r="C8" i="21"/>
  <c r="D8" i="21"/>
  <c r="C9" i="21"/>
  <c r="D9" i="21"/>
  <c r="C10" i="21"/>
  <c r="D10" i="21"/>
  <c r="C11" i="21"/>
  <c r="D11" i="21"/>
  <c r="C12" i="21"/>
  <c r="D12" i="21"/>
  <c r="B12" i="21"/>
  <c r="H6" i="21" s="1"/>
  <c r="J6" i="21" s="1"/>
  <c r="B11" i="21"/>
  <c r="B10" i="21"/>
  <c r="B5" i="21"/>
  <c r="B6" i="21"/>
  <c r="B7" i="21"/>
  <c r="B8" i="21"/>
  <c r="B9" i="21"/>
  <c r="B4" i="21"/>
  <c r="G8" i="20"/>
  <c r="J14" i="20" s="1"/>
  <c r="G6" i="20"/>
  <c r="I6" i="20" s="1"/>
  <c r="I13" i="20"/>
  <c r="H12" i="20"/>
  <c r="G11" i="20"/>
  <c r="O13" i="19"/>
  <c r="Q13" i="19"/>
  <c r="Q12" i="19"/>
  <c r="P11" i="19"/>
  <c r="V5" i="19"/>
  <c r="Q11" i="19"/>
  <c r="P12" i="19"/>
  <c r="O12" i="19"/>
  <c r="O11" i="19"/>
  <c r="H33" i="19"/>
  <c r="Q8" i="19" s="1"/>
  <c r="U5" i="19"/>
  <c r="T5" i="19"/>
  <c r="H16" i="19"/>
  <c r="H18" i="19" s="1"/>
  <c r="H22" i="19" s="1"/>
  <c r="O6" i="19" s="1"/>
  <c r="H29" i="19"/>
  <c r="H27" i="19"/>
  <c r="H25" i="19"/>
  <c r="H31" i="19" s="1"/>
  <c r="P7" i="19" s="1"/>
  <c r="H20" i="19"/>
  <c r="H14" i="19"/>
  <c r="H8" i="19"/>
  <c r="J8" i="19" s="1"/>
  <c r="H6" i="19"/>
  <c r="J6" i="19"/>
  <c r="H21" i="24" l="1"/>
  <c r="I20" i="24"/>
  <c r="J20" i="24"/>
  <c r="H22" i="24"/>
  <c r="H20" i="24"/>
  <c r="J22" i="24"/>
  <c r="I21" i="24"/>
  <c r="J21" i="24"/>
  <c r="J18" i="20"/>
  <c r="J17" i="20"/>
  <c r="H9" i="21"/>
  <c r="I10" i="21"/>
  <c r="I9" i="21"/>
  <c r="H10" i="21"/>
  <c r="H16" i="21"/>
  <c r="H14" i="21"/>
  <c r="H19" i="21"/>
  <c r="H12" i="25"/>
  <c r="L5" i="25"/>
  <c r="M5" i="25" s="1"/>
  <c r="N5" i="25" s="1"/>
  <c r="H21" i="21"/>
  <c r="O22" i="19" a="1"/>
  <c r="Q22" i="19" s="1"/>
  <c r="O16" i="19" a="1"/>
  <c r="O16" i="19" s="1"/>
  <c r="M16" i="24" l="1" a="1"/>
  <c r="M21" i="24" a="1"/>
  <c r="H25" i="21" a="1"/>
  <c r="H25" i="21" s="1"/>
  <c r="H32" i="21"/>
  <c r="S6" i="21" s="1"/>
  <c r="G22" i="20" a="1"/>
  <c r="N4" i="20" a="1"/>
  <c r="H30" i="21"/>
  <c r="Q6" i="21" s="1"/>
  <c r="H31" i="21"/>
  <c r="R6" i="21" s="1"/>
  <c r="P24" i="19"/>
  <c r="O22" i="19"/>
  <c r="P22" i="19"/>
  <c r="P23" i="19"/>
  <c r="Q23" i="19"/>
  <c r="O24" i="19"/>
  <c r="O23" i="19"/>
  <c r="Q24" i="19"/>
  <c r="M21" i="24" l="1"/>
  <c r="N23" i="24"/>
  <c r="N22" i="24"/>
  <c r="M23" i="24"/>
  <c r="O23" i="24"/>
  <c r="M22" i="24"/>
  <c r="O21" i="24"/>
  <c r="N21" i="24"/>
  <c r="O22" i="24"/>
  <c r="M16" i="24"/>
  <c r="O18" i="24"/>
  <c r="N17" i="24"/>
  <c r="O16" i="24"/>
  <c r="N18" i="24"/>
  <c r="O17" i="24"/>
  <c r="N16" i="24"/>
  <c r="M18" i="24"/>
  <c r="M17" i="24"/>
  <c r="O4" i="20"/>
  <c r="N4" i="20"/>
  <c r="N5" i="20"/>
  <c r="P4" i="20"/>
  <c r="Q6" i="20"/>
  <c r="O6" i="20"/>
  <c r="N6" i="20"/>
  <c r="O5" i="20"/>
  <c r="Q4" i="20"/>
  <c r="P5" i="20"/>
  <c r="Q5" i="20"/>
  <c r="P6" i="20"/>
  <c r="G22" i="20"/>
  <c r="I25" i="20"/>
  <c r="I24" i="20"/>
  <c r="H24" i="20"/>
  <c r="H25" i="20"/>
  <c r="G24" i="20"/>
  <c r="I23" i="20"/>
  <c r="I22" i="20"/>
  <c r="H23" i="20"/>
  <c r="G23" i="20"/>
  <c r="H22" i="20"/>
  <c r="G25" i="20"/>
  <c r="O27" i="19" a="1"/>
  <c r="M26" i="24" l="1" a="1"/>
  <c r="N9" i="20" a="1"/>
  <c r="O27" i="19"/>
  <c r="Q28" i="19"/>
  <c r="D17" i="21" s="1"/>
  <c r="P29" i="19"/>
  <c r="C18" i="21" s="1"/>
  <c r="O28" i="19"/>
  <c r="B17" i="21" s="1"/>
  <c r="P27" i="19"/>
  <c r="C16" i="21" s="1"/>
  <c r="O29" i="19"/>
  <c r="B18" i="21" s="1"/>
  <c r="P28" i="19"/>
  <c r="Q29" i="19"/>
  <c r="Q27" i="19"/>
  <c r="D16" i="21" s="1"/>
  <c r="O27" i="24" l="1"/>
  <c r="M26" i="24"/>
  <c r="M32" i="24" s="1"/>
  <c r="N26" i="24"/>
  <c r="M27" i="24"/>
  <c r="O26" i="24"/>
  <c r="N27" i="24"/>
  <c r="N32" i="24" s="1"/>
  <c r="O28" i="24"/>
  <c r="O32" i="24" s="1"/>
  <c r="M28" i="24"/>
  <c r="N28" i="24"/>
  <c r="N11" i="20"/>
  <c r="B22" i="21" s="1"/>
  <c r="B11" i="22" s="1"/>
  <c r="N9" i="20"/>
  <c r="O9" i="20"/>
  <c r="C20" i="21" s="1"/>
  <c r="C9" i="22" s="1"/>
  <c r="P9" i="20"/>
  <c r="D20" i="21" s="1"/>
  <c r="D9" i="22" s="1"/>
  <c r="N10" i="20"/>
  <c r="B21" i="21" s="1"/>
  <c r="B10" i="22" s="1"/>
  <c r="P10" i="20"/>
  <c r="D21" i="21" s="1"/>
  <c r="D10" i="22" s="1"/>
  <c r="O10" i="20"/>
  <c r="P11" i="20"/>
  <c r="O11" i="20"/>
  <c r="C22" i="21" s="1"/>
  <c r="C11" i="22" s="1"/>
  <c r="B7" i="22"/>
  <c r="L8" i="21"/>
  <c r="B15" i="22" s="1"/>
  <c r="C7" i="22"/>
  <c r="M8" i="21"/>
  <c r="C15" i="22" s="1"/>
  <c r="N6" i="21"/>
  <c r="D13" i="22" s="1"/>
  <c r="D5" i="22"/>
  <c r="V8" i="19"/>
  <c r="D18" i="21"/>
  <c r="U8" i="19"/>
  <c r="C17" i="21"/>
  <c r="M6" i="21"/>
  <c r="C13" i="22" s="1"/>
  <c r="C5" i="22"/>
  <c r="L7" i="21"/>
  <c r="B14" i="22" s="1"/>
  <c r="B6" i="22"/>
  <c r="N7" i="21"/>
  <c r="D14" i="22" s="1"/>
  <c r="D6" i="22"/>
  <c r="T8" i="19"/>
  <c r="B16" i="21"/>
  <c r="M35" i="24" l="1"/>
  <c r="Q4" i="24" s="1"/>
  <c r="Q7" i="24" s="1"/>
  <c r="D22" i="21"/>
  <c r="D11" i="22" s="1"/>
  <c r="U5" i="20"/>
  <c r="T5" i="20"/>
  <c r="C21" i="21"/>
  <c r="C10" i="22" s="1"/>
  <c r="B20" i="21"/>
  <c r="B9" i="22" s="1"/>
  <c r="S5" i="20"/>
  <c r="C6" i="22"/>
  <c r="D7" i="22"/>
  <c r="N8" i="21"/>
  <c r="B5" i="22"/>
  <c r="L6" i="21"/>
  <c r="M7" i="21" l="1"/>
  <c r="G7" i="22"/>
  <c r="Q9" i="21"/>
  <c r="B13" i="22"/>
  <c r="G5" i="22"/>
  <c r="G12" i="22" s="1"/>
  <c r="S9" i="21"/>
  <c r="D15" i="22"/>
  <c r="R9" i="21"/>
  <c r="C14" i="22"/>
  <c r="G15" i="2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<sst xmlns="http://schemas.openxmlformats.org/spreadsheetml/2006/main" count="187" uniqueCount="140">
  <si>
    <t>Input</t>
  </si>
  <si>
    <t>Computations</t>
  </si>
  <si>
    <t>Output</t>
  </si>
  <si>
    <t>Horizontal angle encoder accuracy (sec)</t>
  </si>
  <si>
    <t>Coordinates (in m)</t>
  </si>
  <si>
    <t>Convert horizontal angle to decimal degrees and then radians</t>
  </si>
  <si>
    <t>Covariance matrix of laser scanner measurements</t>
  </si>
  <si>
    <t xml:space="preserve">xls </t>
  </si>
  <si>
    <t xml:space="preserve">yls </t>
  </si>
  <si>
    <t xml:space="preserve">zls </t>
  </si>
  <si>
    <t>Vertical angle encoder accuracy (sec)</t>
  </si>
  <si>
    <t>Decimal degrees</t>
  </si>
  <si>
    <t>Radians</t>
  </si>
  <si>
    <t>Σ_tls(noise)</t>
  </si>
  <si>
    <t>Uncertainty (in m)</t>
  </si>
  <si>
    <t>Dual-axis compensator accuracy (sec)</t>
  </si>
  <si>
    <t>Convert vertical angle to decimal degrees and then radians</t>
  </si>
  <si>
    <t>sigma_xls</t>
  </si>
  <si>
    <t>sigma_yls</t>
  </si>
  <si>
    <t xml:space="preserve">sigma_zls </t>
  </si>
  <si>
    <t>Range uncertainty (mm)</t>
  </si>
  <si>
    <t>Coordinate estimation</t>
  </si>
  <si>
    <t>xls</t>
  </si>
  <si>
    <t>yls</t>
  </si>
  <si>
    <t>zls</t>
  </si>
  <si>
    <t>J (Jacobian matrix)</t>
  </si>
  <si>
    <t>Range uncertainty (ppm)</t>
  </si>
  <si>
    <t>Beam divergence 1/e^2 definition (mrad)</t>
  </si>
  <si>
    <t xml:space="preserve">convert incidence angle to radians </t>
  </si>
  <si>
    <t>convert beam divergence to radians</t>
  </si>
  <si>
    <t>JT</t>
  </si>
  <si>
    <t>Range observation (m)</t>
  </si>
  <si>
    <t>Range effect of beam divergence (m)</t>
  </si>
  <si>
    <t xml:space="preserve">Horizontal angle </t>
  </si>
  <si>
    <t>deg</t>
  </si>
  <si>
    <t xml:space="preserve">min </t>
  </si>
  <si>
    <t>sec</t>
  </si>
  <si>
    <t>convert range uncertainty to m</t>
  </si>
  <si>
    <t>GLOPOV</t>
  </si>
  <si>
    <t xml:space="preserve">Vertical angle </t>
  </si>
  <si>
    <t>Range uncertainty estimation (m)</t>
  </si>
  <si>
    <t>J*Σ</t>
  </si>
  <si>
    <t>min</t>
  </si>
  <si>
    <t>Incidence angle (deg)</t>
  </si>
  <si>
    <t xml:space="preserve">Convert horizontal encoder uncertainty to radians </t>
  </si>
  <si>
    <t xml:space="preserve">Convert vertical encoder uncertainty to radians </t>
  </si>
  <si>
    <t>Σ_xyz_ls = J*Σ*JT</t>
  </si>
  <si>
    <t>Convert dual axis uncertainty to radians</t>
  </si>
  <si>
    <t xml:space="preserve">Horizontal angle uncertainty in radians </t>
  </si>
  <si>
    <t xml:space="preserve">Vertical angle uncertainty in radians </t>
  </si>
  <si>
    <t xml:space="preserve">Computations </t>
  </si>
  <si>
    <t>local laser scanner coordinates in m</t>
  </si>
  <si>
    <t>Jreg*Σ</t>
  </si>
  <si>
    <t>Registration uncertainty in m</t>
  </si>
  <si>
    <t>convert theta3 to radians</t>
  </si>
  <si>
    <t>sigma_x_reg</t>
  </si>
  <si>
    <t>sigma_y_reg</t>
  </si>
  <si>
    <t>sigma_z_reg</t>
  </si>
  <si>
    <t>dec deg</t>
  </si>
  <si>
    <t>radians</t>
  </si>
  <si>
    <t>scanner origin in m</t>
  </si>
  <si>
    <t>Tx</t>
  </si>
  <si>
    <t>Ty</t>
  </si>
  <si>
    <t>Tz</t>
  </si>
  <si>
    <t>convert sigma_theta3 in radians</t>
  </si>
  <si>
    <t>Σxyz_reg = Jreg*Σ4param*JregT</t>
  </si>
  <si>
    <t xml:space="preserve">Theta3 </t>
  </si>
  <si>
    <t>Σ4-param</t>
  </si>
  <si>
    <t>Origin uncertainty in m</t>
  </si>
  <si>
    <t>sigma_Tx</t>
  </si>
  <si>
    <t>sigma_Ty</t>
  </si>
  <si>
    <t>sigma_Tz</t>
  </si>
  <si>
    <t>sigma_theta 3 in sec</t>
  </si>
  <si>
    <t>Jreg (Jacobian registration)</t>
  </si>
  <si>
    <t>JregT</t>
  </si>
  <si>
    <t>Matrixes from Examples 26.7 and 26.8</t>
  </si>
  <si>
    <t>Covariance addition</t>
  </si>
  <si>
    <t>Coordinates in mapping frame (m)</t>
  </si>
  <si>
    <t>Σxyz_m = Σxyz_ls+Σreg</t>
  </si>
  <si>
    <t>xm</t>
  </si>
  <si>
    <t>ym</t>
  </si>
  <si>
    <t>zm</t>
  </si>
  <si>
    <t>Coordinate uncertainty  (m)</t>
  </si>
  <si>
    <t>R(theta3)</t>
  </si>
  <si>
    <t>sigma_xm</t>
  </si>
  <si>
    <t>sigma_ym</t>
  </si>
  <si>
    <t>sigma_zm</t>
  </si>
  <si>
    <t>Origin as vector</t>
  </si>
  <si>
    <t>Σ_xyz_ls</t>
  </si>
  <si>
    <t>xyz_ls as vector</t>
  </si>
  <si>
    <t xml:space="preserve">Σxyz_reg </t>
  </si>
  <si>
    <t>Registration using 4param transformation</t>
  </si>
  <si>
    <t>R(theta3)*xyz_ls</t>
  </si>
  <si>
    <t>xyz_m=T + R(theta3)*xyz_ls</t>
  </si>
  <si>
    <t>Examples 26.7, 26.8, 26.9</t>
  </si>
  <si>
    <t>sigma_xyz_ls</t>
  </si>
  <si>
    <t>sigma_xyz_reg</t>
  </si>
  <si>
    <t>Using Σ_xyz_ls and Σ_xyz_reg</t>
  </si>
  <si>
    <t>sigma_xyz_m</t>
  </si>
  <si>
    <t>Using Σxyz_m</t>
  </si>
  <si>
    <t>sigma_xyz_m_95% in cm</t>
  </si>
  <si>
    <t>sigma_xyz_m (one sigma) in cm</t>
  </si>
  <si>
    <t>sigma per coordinate (one sigma) in cm</t>
  </si>
  <si>
    <t xml:space="preserve">Output </t>
  </si>
  <si>
    <t>sigma in cm</t>
  </si>
  <si>
    <t xml:space="preserve">Input </t>
  </si>
  <si>
    <t>sigma_xyz_ls in cm (not to exceed)</t>
  </si>
  <si>
    <t>sigma_xyz_ls in cm</t>
  </si>
  <si>
    <t>sigma_xyz_reg in cm</t>
  </si>
  <si>
    <t xml:space="preserve">Decision </t>
  </si>
  <si>
    <t xml:space="preserve">Convert horizontal angle to radians </t>
  </si>
  <si>
    <t>Σtls(noise)</t>
  </si>
  <si>
    <t xml:space="preserve">Convert vertical angle to radians </t>
  </si>
  <si>
    <t>JlsT</t>
  </si>
  <si>
    <t xml:space="preserve">Convert incidence angle to radians </t>
  </si>
  <si>
    <t>Jls</t>
  </si>
  <si>
    <t>Jls*Σtls(noise)</t>
  </si>
  <si>
    <t xml:space="preserve">sigma_xyz_m in cm </t>
  </si>
  <si>
    <t>sigma_beam_diverg (radians)</t>
  </si>
  <si>
    <t>Σxyz_ls=Jls*Σtls(noise)*JlsT</t>
  </si>
  <si>
    <t>sigma_xyz_reg per coordinate in m</t>
  </si>
  <si>
    <t xml:space="preserve">convert horizontal encoder uncertainty to radians </t>
  </si>
  <si>
    <t xml:space="preserve">convert vertical encoder uncertainty to radians </t>
  </si>
  <si>
    <t>uncertainties in m</t>
  </si>
  <si>
    <t xml:space="preserve">Trial and error user input </t>
  </si>
  <si>
    <t>sigma_zls</t>
  </si>
  <si>
    <t>Range observation trial and error  (m)</t>
  </si>
  <si>
    <t>convert dual axis compesation to radians</t>
  </si>
  <si>
    <t>sigma horizontal (radians)</t>
  </si>
  <si>
    <t>sigma vertical (radians)</t>
  </si>
  <si>
    <t xml:space="preserve">sigma_beam_range </t>
  </si>
  <si>
    <t>range uncertainty in m</t>
  </si>
  <si>
    <t>Desired Range (m)</t>
  </si>
  <si>
    <t>Time needed</t>
  </si>
  <si>
    <t>convert resolution at 100 m range</t>
  </si>
  <si>
    <t xml:space="preserve">Hours </t>
  </si>
  <si>
    <t>Minutes</t>
  </si>
  <si>
    <t>Seconds</t>
  </si>
  <si>
    <t>Round to two decimal places</t>
  </si>
  <si>
    <t>Time using the 150 m equation in seconds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</si>
</sst>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9" formatCode="0.000"/>
    <numFmt numFmtId="171" formatCode="0.0000"/>
    <numFmt numFmtId="172" formatCode="0.0000000"/>
  </numFmts>
  <fonts count="3"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4999237037263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14">
    <xf numFmtId="0" fontId="0" fillId="0" borderId="0" xfId="0"/>
    <xf numFmtId="0" fontId="0" fillId="2" borderId="0" xfId="0" applyFill="1"/>
    <xf numFmtId="0" fontId="0" fillId="3" borderId="0" xfId="0" applyFill="1"/>
    <xf numFmtId="169" fontId="0" fillId="2" borderId="0" xfId="0" applyNumberFormat="1" applyFill="1"/>
    <xf numFmtId="169" fontId="0" fillId="3" borderId="0" xfId="0" applyNumberFormat="1" applyFill="1"/>
    <xf numFmtId="0" fontId="0" fillId="4" borderId="0" xfId="0" applyFill="1"/>
    <xf numFmtId="2" fontId="0" fillId="4" borderId="0" xfId="0" applyNumberFormat="1" applyFill="1"/>
    <xf numFmtId="169" fontId="0" fillId="4" borderId="0" xfId="0" applyNumberFormat="1" applyFill="1"/>
    <xf numFmtId="2" fontId="0" fillId="3" borderId="0" xfId="0" applyNumberFormat="1" applyFill="1"/>
    <xf numFmtId="172" fontId="0" fillId="4" borderId="0" xfId="0" applyNumberFormat="1" applyFill="1"/>
    <xf numFmtId="164" fontId="0" fillId="4" borderId="0" xfId="0" applyNumberFormat="1" applyFill="1"/>
    <xf numFmtId="0" fontId="0" fillId="5" borderId="0" xfId="0" applyFill="1"/>
    <xf numFmtId="2" fontId="0" fillId="5" borderId="0" xfId="0" applyNumberFormat="1" applyFill="1"/>
    <xf numFmtId="171" fontId="0" fillId="4" borderId="0" xfId="0" applyNumberFormat="1" applyFill="1"/>
  </cellXfs>
  <cellStyles count="3">
    <cellStyle name="Normal" xfId="0" builtinId="0"/>
    <cellStyle name="Normal 2" xfId="2" xr:uid="{BA609031-CFAE-4BD7-9168-618418DF1BC0}"/>
    <cellStyle name="Normal 3" xfId="1" xr:uid="{C006E192-8572-4A52-A854-2618B0FD808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15068-C6AB-49D2-96AB-2C0823DBFC24}">
  <dimension ref="B2:V33"/>
  <sheetViews>
    <sheetView tabSelected="1" workbookViewId="0">
      <selection activeCell="H11" sqref="H11:J11"/>
    </sheetView>
  </sheetViews>
  <sheetFormatPr defaultRowHeight="15"/>
  <cols>
    <col min="4" max="4" width="12" bestFit="1" customWidth="1"/>
    <col min="8" max="8" width="9.5703125" bestFit="1" customWidth="1"/>
    <col min="15" max="15" width="12" bestFit="1" customWidth="1"/>
    <col min="16" max="17" width="12.7109375" bestFit="1" customWidth="1"/>
    <col min="20" max="20" width="12.85546875" customWidth="1"/>
    <col min="21" max="21" width="11.7109375" customWidth="1"/>
    <col min="22" max="22" width="11.85546875" customWidth="1"/>
  </cols>
  <sheetData>
    <row r="2" spans="2:22">
      <c r="B2" s="1" t="s">
        <v>0</v>
      </c>
      <c r="C2" s="1"/>
      <c r="D2" s="1"/>
      <c r="E2" s="1"/>
      <c r="F2" s="1"/>
      <c r="H2" s="5" t="s">
        <v>1</v>
      </c>
      <c r="I2" s="5"/>
      <c r="J2" s="5"/>
      <c r="K2" s="5"/>
      <c r="L2" s="5"/>
      <c r="M2" s="5"/>
      <c r="N2" s="5"/>
      <c r="O2" s="5"/>
      <c r="P2" s="5"/>
      <c r="Q2" s="5"/>
      <c r="R2" s="5"/>
      <c r="T2" s="2" t="s">
        <v>2</v>
      </c>
      <c r="U2" s="2"/>
      <c r="V2" s="2"/>
    </row>
    <row r="3" spans="2:22">
      <c r="B3" s="1" t="s">
        <v>3</v>
      </c>
      <c r="C3" s="1"/>
      <c r="D3" s="1"/>
      <c r="E3" s="1"/>
      <c r="F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T3" s="2" t="s">
        <v>4</v>
      </c>
      <c r="U3" s="2"/>
      <c r="V3" s="2"/>
    </row>
    <row r="4" spans="2:22">
      <c r="B4" s="1">
        <v>12</v>
      </c>
      <c r="C4" s="1"/>
      <c r="D4" s="1"/>
      <c r="E4" s="1"/>
      <c r="F4" s="1"/>
      <c r="H4" s="5" t="s">
        <v>5</v>
      </c>
      <c r="I4" s="5"/>
      <c r="J4" s="5"/>
      <c r="K4" s="5"/>
      <c r="L4" s="5"/>
      <c r="M4" s="5"/>
      <c r="N4" s="5"/>
      <c r="O4" s="5" t="s">
        <v>6</v>
      </c>
      <c r="P4" s="5"/>
      <c r="Q4" s="5"/>
      <c r="R4" s="5"/>
      <c r="T4" s="2" t="s">
        <v>7</v>
      </c>
      <c r="U4" s="2" t="s">
        <v>8</v>
      </c>
      <c r="V4" s="2" t="s">
        <v>9</v>
      </c>
    </row>
    <row r="5" spans="2:22">
      <c r="B5" s="1" t="s">
        <v>10</v>
      </c>
      <c r="C5" s="1"/>
      <c r="D5" s="1"/>
      <c r="E5" s="1"/>
      <c r="F5" s="1"/>
      <c r="H5" s="5" t="s">
        <v>11</v>
      </c>
      <c r="I5" s="5"/>
      <c r="J5" s="5" t="s">
        <v>12</v>
      </c>
      <c r="K5" s="5"/>
      <c r="L5" s="5"/>
      <c r="M5" s="5"/>
      <c r="N5" s="5"/>
      <c r="O5" s="5" t="s">
        <v>13</v>
      </c>
      <c r="P5" s="5"/>
      <c r="Q5" s="5"/>
      <c r="R5" s="5"/>
      <c r="T5" s="4">
        <f>H11</f>
        <v>7.9725160538895086</v>
      </c>
      <c r="U5" s="4">
        <f>I11</f>
        <v>148.56879508554539</v>
      </c>
      <c r="V5" s="4">
        <f>J11</f>
        <v>33.00775840010494</v>
      </c>
    </row>
    <row r="6" spans="2:22">
      <c r="B6" s="1">
        <v>12</v>
      </c>
      <c r="C6" s="1"/>
      <c r="D6" s="1"/>
      <c r="E6" s="1"/>
      <c r="F6" s="1"/>
      <c r="H6" s="5">
        <f>B20+C20/60+D20/3600</f>
        <v>86.928333333333342</v>
      </c>
      <c r="I6" s="5"/>
      <c r="J6" s="5">
        <f>RADIANS(H6)</f>
        <v>1.5171856299378041</v>
      </c>
      <c r="K6" s="5"/>
      <c r="L6" s="5"/>
      <c r="M6" s="5"/>
      <c r="N6" s="5"/>
      <c r="O6" s="5">
        <f>H22^2</f>
        <v>3.8946010429787902E-5</v>
      </c>
      <c r="P6" s="5">
        <v>0</v>
      </c>
      <c r="Q6" s="5">
        <v>0</v>
      </c>
      <c r="R6" s="5"/>
      <c r="T6" s="2" t="s">
        <v>14</v>
      </c>
      <c r="U6" s="2"/>
      <c r="V6" s="2"/>
    </row>
    <row r="7" spans="2:22">
      <c r="B7" s="1" t="s">
        <v>15</v>
      </c>
      <c r="C7" s="1"/>
      <c r="D7" s="1"/>
      <c r="E7" s="1"/>
      <c r="F7" s="1"/>
      <c r="H7" s="5" t="s">
        <v>16</v>
      </c>
      <c r="I7" s="5"/>
      <c r="J7" s="5"/>
      <c r="K7" s="5"/>
      <c r="L7" s="5"/>
      <c r="M7" s="5"/>
      <c r="N7" s="5"/>
      <c r="O7" s="5">
        <v>0</v>
      </c>
      <c r="P7" s="5">
        <f>H31^2</f>
        <v>1.0284905719786487E-8</v>
      </c>
      <c r="Q7" s="5">
        <v>0</v>
      </c>
      <c r="R7" s="5"/>
      <c r="T7" s="2" t="s">
        <v>17</v>
      </c>
      <c r="U7" s="2" t="s">
        <v>18</v>
      </c>
      <c r="V7" s="2" t="s">
        <v>19</v>
      </c>
    </row>
    <row r="8" spans="2:22">
      <c r="B8" s="1">
        <v>2</v>
      </c>
      <c r="C8" s="1"/>
      <c r="D8" s="1"/>
      <c r="E8" s="1"/>
      <c r="F8" s="1"/>
      <c r="H8" s="5">
        <f>B23+C23/60+D23/3600</f>
        <v>12.508611111111112</v>
      </c>
      <c r="I8" s="5"/>
      <c r="J8" s="5">
        <f>RADIANS(H8)</f>
        <v>0.21831644874043515</v>
      </c>
      <c r="K8" s="5"/>
      <c r="L8" s="5"/>
      <c r="M8" s="5"/>
      <c r="N8" s="5"/>
      <c r="O8" s="5">
        <v>0</v>
      </c>
      <c r="P8" s="5">
        <v>0</v>
      </c>
      <c r="Q8" s="5">
        <f>H33^2</f>
        <v>1.0284905719786487E-8</v>
      </c>
      <c r="R8" s="5"/>
      <c r="T8" s="4">
        <f>SQRT(O27)</f>
        <v>1.5071637618856654E-2</v>
      </c>
      <c r="U8" s="4">
        <f>SQRT(P28)</f>
        <v>6.9885304845009131E-3</v>
      </c>
      <c r="V8" s="4">
        <f>SQRT(Q29)</f>
        <v>1.5149130864323786E-2</v>
      </c>
    </row>
    <row r="9" spans="2:22">
      <c r="B9" s="1" t="s">
        <v>20</v>
      </c>
      <c r="C9" s="1"/>
      <c r="D9" s="1"/>
      <c r="E9" s="1"/>
      <c r="F9" s="1"/>
      <c r="H9" s="5" t="s">
        <v>21</v>
      </c>
      <c r="I9" s="5"/>
      <c r="J9" s="5"/>
      <c r="K9" s="5"/>
      <c r="L9" s="5"/>
      <c r="M9" s="5"/>
      <c r="N9" s="5"/>
      <c r="O9" s="5"/>
      <c r="P9" s="5"/>
      <c r="Q9" s="5"/>
      <c r="R9" s="5"/>
    </row>
    <row r="10" spans="2:22">
      <c r="B10" s="1">
        <v>1.5</v>
      </c>
      <c r="C10" s="1"/>
      <c r="D10" s="1"/>
      <c r="E10" s="1"/>
      <c r="F10" s="1"/>
      <c r="H10" s="5" t="s">
        <v>22</v>
      </c>
      <c r="I10" s="5" t="s">
        <v>23</v>
      </c>
      <c r="J10" s="5" t="s">
        <v>24</v>
      </c>
      <c r="K10" s="5"/>
      <c r="L10" s="5"/>
      <c r="M10" s="5"/>
      <c r="N10" s="5"/>
      <c r="O10" s="5" t="s">
        <v>25</v>
      </c>
      <c r="P10" s="5"/>
      <c r="Q10" s="5"/>
      <c r="R10" s="5"/>
    </row>
    <row r="11" spans="2:22">
      <c r="B11" s="1" t="s">
        <v>26</v>
      </c>
      <c r="C11" s="1"/>
      <c r="D11" s="1"/>
      <c r="E11" s="1"/>
      <c r="F11" s="1"/>
      <c r="H11" s="5">
        <f>range*COS(alpha)*COS(theta)</f>
        <v>7.9725160538895086</v>
      </c>
      <c r="I11" s="5">
        <f>B17*COS(alpha)*SIN(theta)</f>
        <v>148.56879508554539</v>
      </c>
      <c r="J11" s="5">
        <f>B17*SIN(alpha)</f>
        <v>33.00775840010494</v>
      </c>
      <c r="K11" s="5"/>
      <c r="L11" s="5"/>
      <c r="M11" s="5"/>
      <c r="N11" s="5"/>
      <c r="O11" s="5">
        <f>COS(alpha)*COS(theta)</f>
        <v>5.231309746646659E-2</v>
      </c>
      <c r="P11" s="5">
        <f>-range*COS(alpha)*SIN(theta)</f>
        <v>-148.56879508554539</v>
      </c>
      <c r="Q11" s="5">
        <f>-range*SIN(alpha)*COS(theta)</f>
        <v>-1.7687213963036628</v>
      </c>
      <c r="R11" s="5"/>
    </row>
    <row r="12" spans="2:22">
      <c r="B12" s="1">
        <v>10</v>
      </c>
      <c r="C12" s="1"/>
      <c r="D12" s="1"/>
      <c r="E12" s="1"/>
      <c r="F12" s="1"/>
      <c r="H12" s="5"/>
      <c r="I12" s="5"/>
      <c r="J12" s="5"/>
      <c r="K12" s="5"/>
      <c r="L12" s="5"/>
      <c r="M12" s="5"/>
      <c r="N12" s="5"/>
      <c r="O12" s="5">
        <f>COS(alpha)*SIN(theta)</f>
        <v>0.97486086014137396</v>
      </c>
      <c r="P12" s="5">
        <f>range*COS(alpha)*COS(theta)</f>
        <v>7.9725160538895086</v>
      </c>
      <c r="Q12" s="5">
        <f>-range*SIN(alpha)*SIN(theta)</f>
        <v>-32.960335848136559</v>
      </c>
      <c r="R12" s="5"/>
    </row>
    <row r="13" spans="2:22">
      <c r="B13" s="1" t="s">
        <v>27</v>
      </c>
      <c r="C13" s="1"/>
      <c r="D13" s="1"/>
      <c r="E13" s="1"/>
      <c r="F13" s="1"/>
      <c r="H13" s="5" t="s">
        <v>28</v>
      </c>
      <c r="I13" s="5"/>
      <c r="J13" s="5"/>
      <c r="K13" s="5"/>
      <c r="L13" s="5"/>
      <c r="M13" s="5"/>
      <c r="N13" s="5"/>
      <c r="O13" s="5">
        <f>SIN(alpha)</f>
        <v>0.21658634120803766</v>
      </c>
      <c r="P13" s="5">
        <v>0</v>
      </c>
      <c r="Q13" s="5">
        <f>range*COS(alpha)</f>
        <v>148.78255235544356</v>
      </c>
      <c r="R13" s="5"/>
    </row>
    <row r="14" spans="2:22">
      <c r="B14" s="1">
        <v>0.33</v>
      </c>
      <c r="C14" s="1"/>
      <c r="D14" s="1"/>
      <c r="E14" s="1"/>
      <c r="F14" s="1"/>
      <c r="H14" s="5">
        <f>RADIANS(B25)</f>
        <v>0.43633231299858238</v>
      </c>
      <c r="I14" s="5"/>
      <c r="J14" s="5"/>
      <c r="K14" s="5"/>
      <c r="L14" s="5"/>
      <c r="M14" s="5"/>
      <c r="N14" s="5"/>
      <c r="O14" s="5"/>
      <c r="P14" s="5"/>
      <c r="Q14" s="5"/>
      <c r="R14" s="5"/>
    </row>
    <row r="15" spans="2:22">
      <c r="B15" s="1"/>
      <c r="C15" s="1"/>
      <c r="D15" s="1"/>
      <c r="E15" s="1"/>
      <c r="F15" s="1"/>
      <c r="H15" s="5" t="s">
        <v>29</v>
      </c>
      <c r="I15" s="5"/>
      <c r="J15" s="5"/>
      <c r="K15" s="5"/>
      <c r="L15" s="5"/>
      <c r="M15" s="5"/>
      <c r="N15" s="5"/>
      <c r="O15" s="5" t="s">
        <v>30</v>
      </c>
      <c r="P15" s="5"/>
      <c r="Q15" s="5"/>
      <c r="R15" s="5"/>
    </row>
    <row r="16" spans="2:22">
      <c r="B16" s="1" t="s">
        <v>31</v>
      </c>
      <c r="C16" s="1"/>
      <c r="D16" s="1"/>
      <c r="E16" s="1"/>
      <c r="F16" s="1"/>
      <c r="H16" s="5">
        <f>B14/1000</f>
        <v>3.3E-4</v>
      </c>
      <c r="I16" s="5"/>
      <c r="J16" s="5"/>
      <c r="K16" s="5"/>
      <c r="L16" s="5"/>
      <c r="M16" s="5"/>
      <c r="N16" s="5"/>
      <c r="O16" s="5" cm="1">
        <f t="array" ref="O16:Q18">TRANSPOSE(O11:Q13)</f>
        <v>5.231309746646659E-2</v>
      </c>
      <c r="P16" s="5">
        <v>0.97486086014137396</v>
      </c>
      <c r="Q16" s="5">
        <v>0.21658634120803766</v>
      </c>
      <c r="R16" s="5"/>
    </row>
    <row r="17" spans="2:18">
      <c r="B17" s="1">
        <v>152.4</v>
      </c>
      <c r="C17" s="1"/>
      <c r="D17" s="1"/>
      <c r="E17" s="1"/>
      <c r="F17" s="1"/>
      <c r="H17" s="5" t="s">
        <v>32</v>
      </c>
      <c r="I17" s="5"/>
      <c r="J17" s="5"/>
      <c r="K17" s="5"/>
      <c r="L17" s="5"/>
      <c r="M17" s="5"/>
      <c r="N17" s="5"/>
      <c r="O17" s="5">
        <v>-148.56879508554539</v>
      </c>
      <c r="P17" s="5">
        <v>7.9725160538895086</v>
      </c>
      <c r="Q17" s="5">
        <v>0</v>
      </c>
      <c r="R17" s="5"/>
    </row>
    <row r="18" spans="2:18">
      <c r="B18" s="1" t="s">
        <v>33</v>
      </c>
      <c r="C18" s="1"/>
      <c r="D18" s="1"/>
      <c r="E18" s="1"/>
      <c r="F18" s="1"/>
      <c r="H18" s="5">
        <f>B17*(beam/4)*TAN(H14)</f>
        <v>5.8628861859827972E-3</v>
      </c>
      <c r="I18" s="5"/>
      <c r="J18" s="5"/>
      <c r="K18" s="5"/>
      <c r="L18" s="5"/>
      <c r="M18" s="5"/>
      <c r="N18" s="5"/>
      <c r="O18" s="5">
        <v>-1.7687213963036628</v>
      </c>
      <c r="P18" s="5">
        <v>-32.960335848136559</v>
      </c>
      <c r="Q18" s="5">
        <v>148.78255235544356</v>
      </c>
      <c r="R18" s="5"/>
    </row>
    <row r="19" spans="2:18">
      <c r="B19" s="1" t="s">
        <v>34</v>
      </c>
      <c r="C19" s="1" t="s">
        <v>35</v>
      </c>
      <c r="D19" s="1" t="s">
        <v>36</v>
      </c>
      <c r="E19" s="1"/>
      <c r="F19" s="1"/>
      <c r="H19" s="5" t="s">
        <v>37</v>
      </c>
      <c r="I19" s="5"/>
      <c r="J19" s="5"/>
      <c r="K19" s="5"/>
      <c r="L19" s="5"/>
      <c r="M19" s="5"/>
      <c r="N19" s="5"/>
      <c r="O19" s="5"/>
      <c r="P19" s="5"/>
      <c r="Q19" s="5"/>
      <c r="R19" s="5"/>
    </row>
    <row r="20" spans="2:18">
      <c r="B20" s="1">
        <v>86</v>
      </c>
      <c r="C20" s="1">
        <v>55</v>
      </c>
      <c r="D20" s="1">
        <v>42</v>
      </c>
      <c r="E20" s="1"/>
      <c r="F20" s="1"/>
      <c r="H20" s="5">
        <f>B10/1000</f>
        <v>1.5E-3</v>
      </c>
      <c r="I20" s="5"/>
      <c r="J20" s="5"/>
      <c r="K20" s="5"/>
      <c r="L20" s="5"/>
      <c r="M20" s="5"/>
      <c r="N20" s="5"/>
      <c r="O20" s="5" t="s">
        <v>38</v>
      </c>
      <c r="P20" s="5"/>
      <c r="Q20" s="5"/>
      <c r="R20" s="5"/>
    </row>
    <row r="21" spans="2:18">
      <c r="B21" s="1" t="s">
        <v>39</v>
      </c>
      <c r="C21" s="1"/>
      <c r="D21" s="1"/>
      <c r="E21" s="1"/>
      <c r="F21" s="1"/>
      <c r="H21" s="5" t="s">
        <v>40</v>
      </c>
      <c r="I21" s="5"/>
      <c r="J21" s="5"/>
      <c r="K21" s="5"/>
      <c r="L21" s="5"/>
      <c r="M21" s="5"/>
      <c r="N21" s="5"/>
      <c r="O21" s="5" t="s">
        <v>41</v>
      </c>
      <c r="P21" s="5"/>
      <c r="Q21" s="5"/>
      <c r="R21" s="5"/>
    </row>
    <row r="22" spans="2:18">
      <c r="B22" s="1" t="s">
        <v>34</v>
      </c>
      <c r="C22" s="1" t="s">
        <v>42</v>
      </c>
      <c r="D22" s="1" t="s">
        <v>36</v>
      </c>
      <c r="E22" s="1"/>
      <c r="F22" s="1"/>
      <c r="H22" s="5">
        <f>SQRT(H20^2+(range*B12*10^-6)^2+H18^2)</f>
        <v>6.2406738762563058E-3</v>
      </c>
      <c r="I22" s="5"/>
      <c r="J22" s="5"/>
      <c r="K22" s="5"/>
      <c r="L22" s="5"/>
      <c r="M22" s="5"/>
      <c r="N22" s="5"/>
      <c r="O22" s="5">
        <f t="array" ref="O22:Q24">MMULT(O11:Q13,O6:Q8)</f>
        <v>2.0373864395435188E-6</v>
      </c>
      <c r="P22" s="5">
        <v>-1.5280160503571123E-6</v>
      </c>
      <c r="Q22" s="5">
        <v>-1.8191132805552281E-8</v>
      </c>
      <c r="R22" s="5"/>
    </row>
    <row r="23" spans="2:18">
      <c r="B23" s="1">
        <v>12</v>
      </c>
      <c r="C23" s="1">
        <v>30</v>
      </c>
      <c r="D23" s="1">
        <v>31</v>
      </c>
      <c r="E23" s="1"/>
      <c r="F23" s="1"/>
      <c r="H23" s="5"/>
      <c r="I23" s="5"/>
      <c r="J23" s="5"/>
      <c r="K23" s="5"/>
      <c r="L23" s="5"/>
      <c r="M23" s="5"/>
      <c r="N23" s="5"/>
      <c r="O23" s="5">
        <v>3.7966941226657956E-5</v>
      </c>
      <c r="P23" s="5">
        <v>8.1996575963737792E-8</v>
      </c>
      <c r="Q23" s="5">
        <v>-3.3899394669058328E-7</v>
      </c>
      <c r="R23" s="5"/>
    </row>
    <row r="24" spans="2:18">
      <c r="B24" s="1" t="s">
        <v>43</v>
      </c>
      <c r="C24" s="1"/>
      <c r="D24" s="1"/>
      <c r="E24" s="1"/>
      <c r="F24" s="1"/>
      <c r="H24" s="5" t="s">
        <v>44</v>
      </c>
      <c r="I24" s="5"/>
      <c r="J24" s="5"/>
      <c r="K24" s="5"/>
      <c r="L24" s="5"/>
      <c r="M24" s="5"/>
      <c r="N24" s="5"/>
      <c r="O24" s="5">
        <v>8.4351739036378362E-6</v>
      </c>
      <c r="P24" s="5">
        <v>0</v>
      </c>
      <c r="Q24" s="5">
        <v>1.5302145237249338E-6</v>
      </c>
      <c r="R24" s="5"/>
    </row>
    <row r="25" spans="2:18">
      <c r="B25" s="1">
        <v>25</v>
      </c>
      <c r="C25" s="1"/>
      <c r="D25" s="1"/>
      <c r="E25" s="1"/>
      <c r="F25" s="1"/>
      <c r="H25" s="5">
        <f>RADIANS((B4/3600))</f>
        <v>5.8177641733144322E-5</v>
      </c>
      <c r="I25" s="5"/>
      <c r="J25" s="5"/>
      <c r="K25" s="5"/>
      <c r="L25" s="5"/>
      <c r="M25" s="5"/>
      <c r="N25" s="5"/>
      <c r="O25" s="5"/>
      <c r="P25" s="5"/>
      <c r="Q25" s="5"/>
      <c r="R25" s="5"/>
    </row>
    <row r="26" spans="2:18">
      <c r="H26" s="5" t="s">
        <v>45</v>
      </c>
      <c r="I26" s="5"/>
      <c r="J26" s="5"/>
      <c r="K26" s="5"/>
      <c r="L26" s="5"/>
      <c r="M26" s="5"/>
      <c r="N26" s="5"/>
      <c r="O26" s="5" t="s">
        <v>46</v>
      </c>
      <c r="P26" s="5"/>
      <c r="Q26" s="5"/>
      <c r="R26" s="5"/>
    </row>
    <row r="27" spans="2:18">
      <c r="H27" s="5">
        <f>RADIANS((B6/3600))</f>
        <v>5.8177641733144322E-5</v>
      </c>
      <c r="I27" s="5"/>
      <c r="J27" s="5"/>
      <c r="K27" s="5"/>
      <c r="L27" s="5"/>
      <c r="M27" s="5"/>
      <c r="N27" s="5"/>
      <c r="O27" s="5">
        <f t="array" ref="O27:Q29">MMULT(O22:Q24,O16:Q18)</f>
        <v>2.2715426051413509E-4</v>
      </c>
      <c r="P27" s="5">
        <v>-9.5963783484500929E-6</v>
      </c>
      <c r="Q27" s="5">
        <v>-2.2652530944793076E-6</v>
      </c>
      <c r="R27" s="5"/>
    </row>
    <row r="28" spans="2:18">
      <c r="H28" s="5" t="s">
        <v>47</v>
      </c>
      <c r="I28" s="5"/>
      <c r="J28" s="5"/>
      <c r="K28" s="5"/>
      <c r="L28" s="5"/>
      <c r="M28" s="5"/>
      <c r="N28" s="5"/>
      <c r="O28" s="5">
        <v>-9.5963783484500929E-6</v>
      </c>
      <c r="P28" s="5">
        <v>4.8839558332798565E-5</v>
      </c>
      <c r="Q28" s="5">
        <v>-4.2213263734527697E-5</v>
      </c>
      <c r="R28" s="5"/>
    </row>
    <row r="29" spans="2:18">
      <c r="H29" s="5">
        <f>RADIANS((B8/3600))</f>
        <v>9.6962736221907197E-6</v>
      </c>
      <c r="I29" s="5"/>
      <c r="J29" s="5"/>
      <c r="K29" s="5"/>
      <c r="L29" s="5"/>
      <c r="M29" s="5"/>
      <c r="N29" s="5"/>
      <c r="O29" s="5">
        <v>-2.2652530944793076E-6</v>
      </c>
      <c r="P29" s="5">
        <v>-4.2213263734527697E-5</v>
      </c>
      <c r="Q29" s="5">
        <v>2.2949616594440753E-4</v>
      </c>
      <c r="R29" s="5"/>
    </row>
    <row r="30" spans="2:18">
      <c r="H30" s="5" t="s">
        <v>48</v>
      </c>
      <c r="I30" s="5"/>
      <c r="J30" s="5"/>
      <c r="K30" s="5"/>
      <c r="L30" s="5"/>
      <c r="M30" s="5"/>
      <c r="N30" s="5"/>
      <c r="O30" s="5"/>
      <c r="P30" s="5"/>
      <c r="Q30" s="5"/>
      <c r="R30" s="5"/>
    </row>
    <row r="31" spans="2:18">
      <c r="H31" s="9">
        <f>SQRT(H25^2+(beam/4)^2+H29^2)</f>
        <v>1.014145242052956E-4</v>
      </c>
      <c r="I31" s="5"/>
      <c r="J31" s="5"/>
      <c r="K31" s="5"/>
      <c r="L31" s="5"/>
      <c r="M31" s="5"/>
      <c r="N31" s="5"/>
      <c r="O31" s="5"/>
      <c r="P31" s="5"/>
      <c r="Q31" s="5"/>
      <c r="R31" s="5"/>
    </row>
    <row r="32" spans="2:18">
      <c r="H32" s="5" t="s">
        <v>49</v>
      </c>
      <c r="I32" s="5"/>
      <c r="J32" s="5"/>
      <c r="K32" s="5"/>
      <c r="L32" s="5"/>
      <c r="M32" s="5"/>
      <c r="N32" s="5"/>
      <c r="O32" s="5"/>
      <c r="P32" s="5"/>
      <c r="Q32" s="5"/>
      <c r="R32" s="5"/>
    </row>
    <row r="33" spans="8:18">
      <c r="H33" s="9">
        <f>SQRT(H27^2+(beam/4)^2+H29^2)</f>
        <v>1.014145242052956E-4</v>
      </c>
      <c r="I33" s="5"/>
      <c r="J33" s="5"/>
      <c r="K33" s="5"/>
      <c r="L33" s="5"/>
      <c r="M33" s="5"/>
      <c r="N33" s="5"/>
      <c r="O33" s="5"/>
      <c r="P33" s="5"/>
      <c r="Q33" s="5"/>
      <c r="R33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533E5-D7F4-4594-A033-CB50C2D9E10B}">
  <dimension ref="B2:U25"/>
  <sheetViews>
    <sheetView zoomScale="115" zoomScaleNormal="115" workbookViewId="0">
      <selection activeCell="E13" sqref="E13"/>
    </sheetView>
  </sheetViews>
  <sheetFormatPr defaultRowHeight="15"/>
  <cols>
    <col min="2" max="2" width="13" customWidth="1"/>
    <col min="3" max="3" width="12.42578125" customWidth="1"/>
    <col min="7" max="7" width="13.42578125" bestFit="1" customWidth="1"/>
    <col min="14" max="15" width="13.42578125" bestFit="1" customWidth="1"/>
    <col min="16" max="16" width="10.28515625" bestFit="1" customWidth="1"/>
    <col min="17" max="17" width="14" bestFit="1" customWidth="1"/>
    <col min="19" max="19" width="12.85546875" customWidth="1"/>
    <col min="20" max="21" width="11.7109375" bestFit="1" customWidth="1"/>
  </cols>
  <sheetData>
    <row r="2" spans="2:21">
      <c r="B2" s="1" t="s">
        <v>0</v>
      </c>
      <c r="C2" s="1"/>
      <c r="D2" s="1"/>
      <c r="E2" s="1"/>
      <c r="G2" s="5" t="s">
        <v>50</v>
      </c>
      <c r="H2" s="5"/>
      <c r="I2" s="5"/>
      <c r="J2" s="5"/>
      <c r="K2" s="5"/>
      <c r="L2" s="5"/>
      <c r="N2" s="5" t="s">
        <v>38</v>
      </c>
      <c r="O2" s="5"/>
      <c r="P2" s="5"/>
      <c r="Q2" s="5"/>
      <c r="S2" s="2" t="s">
        <v>2</v>
      </c>
      <c r="T2" s="2"/>
      <c r="U2" s="2"/>
    </row>
    <row r="3" spans="2:21">
      <c r="B3" s="1" t="s">
        <v>51</v>
      </c>
      <c r="C3" s="1"/>
      <c r="D3" s="1"/>
      <c r="E3" s="1"/>
      <c r="G3" s="5"/>
      <c r="H3" s="5"/>
      <c r="I3" s="5"/>
      <c r="J3" s="5"/>
      <c r="K3" s="5"/>
      <c r="L3" s="5"/>
      <c r="N3" s="5" t="s">
        <v>52</v>
      </c>
      <c r="O3" s="5"/>
      <c r="P3" s="5"/>
      <c r="Q3" s="5"/>
      <c r="S3" s="2" t="s">
        <v>53</v>
      </c>
      <c r="T3" s="2"/>
      <c r="U3" s="2"/>
    </row>
    <row r="4" spans="2:21">
      <c r="B4" s="1" t="s">
        <v>22</v>
      </c>
      <c r="C4" s="1" t="s">
        <v>8</v>
      </c>
      <c r="D4" s="1" t="s">
        <v>24</v>
      </c>
      <c r="E4" s="1"/>
      <c r="G4" s="5" t="s">
        <v>54</v>
      </c>
      <c r="H4" s="5"/>
      <c r="I4" s="5"/>
      <c r="J4" s="5"/>
      <c r="K4" s="5"/>
      <c r="L4" s="5"/>
      <c r="N4" s="5">
        <f t="array" ref="N4:Q6">MMULT(G17:J19,G11:J14)</f>
        <v>2.5000000000000001E-5</v>
      </c>
      <c r="O4" s="5">
        <v>0</v>
      </c>
      <c r="P4" s="5">
        <v>0</v>
      </c>
      <c r="Q4" s="5">
        <v>-6.5043757593394531E-8</v>
      </c>
      <c r="S4" s="2" t="s">
        <v>55</v>
      </c>
      <c r="T4" s="2" t="s">
        <v>56</v>
      </c>
      <c r="U4" s="2" t="s">
        <v>57</v>
      </c>
    </row>
    <row r="5" spans="2:21">
      <c r="B5" s="1">
        <v>7.9729999999999999</v>
      </c>
      <c r="C5" s="1">
        <v>148.56899999999999</v>
      </c>
      <c r="D5" s="1">
        <v>33.008000000000003</v>
      </c>
      <c r="E5" s="1"/>
      <c r="G5" s="5" t="s">
        <v>58</v>
      </c>
      <c r="H5" s="5"/>
      <c r="I5" s="5" t="s">
        <v>59</v>
      </c>
      <c r="J5" s="5"/>
      <c r="K5" s="5"/>
      <c r="L5" s="5"/>
      <c r="N5" s="5">
        <v>0</v>
      </c>
      <c r="O5" s="5">
        <v>2.5000000000000001E-5</v>
      </c>
      <c r="P5" s="5">
        <v>0</v>
      </c>
      <c r="Q5" s="5">
        <v>-5.8418137896544678E-8</v>
      </c>
      <c r="S5" s="4">
        <f>SQRT(N9)</f>
        <v>5.6744883244845331E-3</v>
      </c>
      <c r="T5" s="4">
        <f>SQRT(O10)</f>
        <v>5.5504702583255069E-3</v>
      </c>
      <c r="U5" s="4">
        <f>SQRT(P11)</f>
        <v>5.0000000000000001E-3</v>
      </c>
    </row>
    <row r="6" spans="2:21">
      <c r="B6" s="1" t="s">
        <v>60</v>
      </c>
      <c r="C6" s="1"/>
      <c r="D6" s="1"/>
      <c r="E6" s="1"/>
      <c r="G6" s="5">
        <f>B11+C11/60+D11/3600</f>
        <v>45</v>
      </c>
      <c r="H6" s="5"/>
      <c r="I6" s="5">
        <f>RADIANS(G6)</f>
        <v>0.78539816339744828</v>
      </c>
      <c r="J6" s="5"/>
      <c r="K6" s="5"/>
      <c r="L6" s="5"/>
      <c r="N6" s="5">
        <v>0</v>
      </c>
      <c r="O6" s="5">
        <v>0</v>
      </c>
      <c r="P6" s="5">
        <v>2.5000000000000001E-5</v>
      </c>
      <c r="Q6" s="5">
        <v>0</v>
      </c>
    </row>
    <row r="7" spans="2:21">
      <c r="B7" s="1" t="s">
        <v>61</v>
      </c>
      <c r="C7" s="1" t="s">
        <v>62</v>
      </c>
      <c r="D7" s="1" t="s">
        <v>63</v>
      </c>
      <c r="E7" s="1"/>
      <c r="G7" s="5" t="s">
        <v>64</v>
      </c>
      <c r="H7" s="5"/>
      <c r="I7" s="5"/>
      <c r="J7" s="5"/>
      <c r="K7" s="5"/>
      <c r="L7" s="5"/>
      <c r="N7" s="5"/>
      <c r="O7" s="5"/>
      <c r="P7" s="5"/>
      <c r="Q7" s="5"/>
    </row>
    <row r="8" spans="2:21">
      <c r="B8" s="3">
        <v>745144.45</v>
      </c>
      <c r="C8" s="3">
        <v>128173.57</v>
      </c>
      <c r="D8" s="1">
        <v>395.32400000000001</v>
      </c>
      <c r="E8" s="1"/>
      <c r="G8" s="5">
        <f>RADIANS(B16/3600)</f>
        <v>2.4240684055476802E-5</v>
      </c>
      <c r="H8" s="5"/>
      <c r="I8" s="5"/>
      <c r="J8" s="5"/>
      <c r="K8" s="5"/>
      <c r="L8" s="5"/>
      <c r="N8" s="5" t="s">
        <v>65</v>
      </c>
      <c r="O8" s="5"/>
      <c r="P8" s="5"/>
      <c r="Q8" s="5"/>
    </row>
    <row r="9" spans="2:21">
      <c r="B9" s="1" t="s">
        <v>66</v>
      </c>
      <c r="C9" s="1"/>
      <c r="D9" s="1"/>
      <c r="E9" s="1"/>
      <c r="G9" s="5"/>
      <c r="H9" s="5"/>
      <c r="I9" s="5"/>
      <c r="J9" s="5"/>
      <c r="K9" s="5"/>
      <c r="L9" s="5"/>
      <c r="N9" s="5">
        <f t="array" ref="N9:P11">MMULT(N4:Q6,G22:I25)</f>
        <v>3.2199817744711282E-5</v>
      </c>
      <c r="O9" s="5">
        <v>6.4664152472526695E-6</v>
      </c>
      <c r="P9" s="5">
        <v>0</v>
      </c>
      <c r="Q9" s="5"/>
    </row>
    <row r="10" spans="2:21">
      <c r="B10" s="1" t="s">
        <v>34</v>
      </c>
      <c r="C10" s="1" t="s">
        <v>42</v>
      </c>
      <c r="D10" s="1" t="s">
        <v>36</v>
      </c>
      <c r="E10" s="1"/>
      <c r="G10" s="5" t="s">
        <v>67</v>
      </c>
      <c r="H10" s="5"/>
      <c r="I10" s="5"/>
      <c r="J10" s="5"/>
      <c r="K10" s="5"/>
      <c r="L10" s="5"/>
      <c r="N10" s="5">
        <v>6.4664152472526695E-6</v>
      </c>
      <c r="O10" s="5">
        <v>3.0807720088556022E-5</v>
      </c>
      <c r="P10" s="5">
        <v>0</v>
      </c>
      <c r="Q10" s="5"/>
    </row>
    <row r="11" spans="2:21">
      <c r="B11" s="1">
        <v>45</v>
      </c>
      <c r="C11" s="1">
        <v>0</v>
      </c>
      <c r="D11" s="1">
        <v>0</v>
      </c>
      <c r="E11" s="1"/>
      <c r="G11" s="5">
        <f>B14^2</f>
        <v>2.5000000000000001E-5</v>
      </c>
      <c r="H11" s="5">
        <v>0</v>
      </c>
      <c r="I11" s="5">
        <v>0</v>
      </c>
      <c r="J11" s="5">
        <v>0</v>
      </c>
      <c r="K11" s="5"/>
      <c r="L11" s="5"/>
      <c r="N11" s="5">
        <v>0</v>
      </c>
      <c r="O11" s="5">
        <v>0</v>
      </c>
      <c r="P11" s="5">
        <v>2.5000000000000001E-5</v>
      </c>
      <c r="Q11" s="5"/>
    </row>
    <row r="12" spans="2:21">
      <c r="B12" s="1" t="s">
        <v>68</v>
      </c>
      <c r="C12" s="1"/>
      <c r="D12" s="1"/>
      <c r="E12" s="1"/>
      <c r="G12" s="5">
        <v>0</v>
      </c>
      <c r="H12" s="5">
        <f>C14^2</f>
        <v>2.5000000000000001E-5</v>
      </c>
      <c r="I12" s="5">
        <v>0</v>
      </c>
      <c r="J12" s="5">
        <v>0</v>
      </c>
      <c r="K12" s="5"/>
      <c r="L12" s="5"/>
    </row>
    <row r="13" spans="2:21">
      <c r="B13" s="1" t="s">
        <v>69</v>
      </c>
      <c r="C13" s="1" t="s">
        <v>70</v>
      </c>
      <c r="D13" s="1" t="s">
        <v>71</v>
      </c>
      <c r="E13" s="1"/>
      <c r="G13" s="5">
        <v>0</v>
      </c>
      <c r="H13" s="5">
        <v>0</v>
      </c>
      <c r="I13" s="5">
        <f>D14^2</f>
        <v>2.5000000000000001E-5</v>
      </c>
      <c r="J13" s="5">
        <v>0</v>
      </c>
      <c r="K13" s="5"/>
      <c r="L13" s="5"/>
    </row>
    <row r="14" spans="2:21">
      <c r="B14" s="1">
        <v>5.0000000000000001E-3</v>
      </c>
      <c r="C14" s="1">
        <v>5.0000000000000001E-3</v>
      </c>
      <c r="D14" s="1">
        <v>5.0000000000000001E-3</v>
      </c>
      <c r="E14" s="1"/>
      <c r="G14" s="5">
        <v>0</v>
      </c>
      <c r="H14" s="5">
        <v>0</v>
      </c>
      <c r="I14" s="5">
        <v>0</v>
      </c>
      <c r="J14" s="5">
        <f>G8^2</f>
        <v>5.8761076347744721E-10</v>
      </c>
      <c r="K14" s="5"/>
      <c r="L14" s="5"/>
    </row>
    <row r="15" spans="2:21">
      <c r="B15" s="1" t="s">
        <v>72</v>
      </c>
      <c r="C15" s="1"/>
      <c r="D15" s="1"/>
      <c r="E15" s="1"/>
      <c r="G15" s="5"/>
      <c r="H15" s="5"/>
      <c r="I15" s="5"/>
      <c r="J15" s="5"/>
      <c r="K15" s="5"/>
      <c r="L15" s="5"/>
    </row>
    <row r="16" spans="2:21">
      <c r="B16" s="1">
        <v>5</v>
      </c>
      <c r="C16" s="1"/>
      <c r="D16" s="1"/>
      <c r="E16" s="1"/>
      <c r="G16" s="5" t="s">
        <v>73</v>
      </c>
      <c r="H16" s="5"/>
      <c r="I16" s="5"/>
      <c r="J16" s="5"/>
      <c r="K16" s="5"/>
      <c r="L16" s="5"/>
    </row>
    <row r="17" spans="7:12">
      <c r="G17" s="5">
        <v>1</v>
      </c>
      <c r="H17" s="5">
        <v>0</v>
      </c>
      <c r="I17" s="5">
        <v>0</v>
      </c>
      <c r="J17" s="5">
        <f>-SIN(I6)*B5-COS(I6)*C5</f>
        <v>-110.69190974050451</v>
      </c>
      <c r="K17" s="5"/>
      <c r="L17" s="5"/>
    </row>
    <row r="18" spans="7:12">
      <c r="G18" s="5">
        <v>0</v>
      </c>
      <c r="H18" s="5">
        <v>1</v>
      </c>
      <c r="I18" s="5">
        <v>0</v>
      </c>
      <c r="J18" s="5">
        <f>COS(I6)*B5-SIN(I6)*C5</f>
        <v>-99.416385007703823</v>
      </c>
      <c r="K18" s="5"/>
      <c r="L18" s="5"/>
    </row>
    <row r="19" spans="7:12">
      <c r="G19" s="5">
        <v>0</v>
      </c>
      <c r="H19" s="5">
        <v>0</v>
      </c>
      <c r="I19" s="5">
        <v>1</v>
      </c>
      <c r="J19" s="5">
        <v>0</v>
      </c>
      <c r="K19" s="5"/>
      <c r="L19" s="5"/>
    </row>
    <row r="20" spans="7:12">
      <c r="G20" s="5"/>
      <c r="H20" s="5"/>
      <c r="I20" s="5"/>
      <c r="J20" s="5"/>
      <c r="K20" s="5"/>
      <c r="L20" s="5"/>
    </row>
    <row r="21" spans="7:12">
      <c r="G21" s="5" t="s">
        <v>74</v>
      </c>
      <c r="H21" s="5"/>
      <c r="I21" s="5"/>
      <c r="J21" s="5"/>
      <c r="K21" s="5"/>
      <c r="L21" s="5"/>
    </row>
    <row r="22" spans="7:12">
      <c r="G22" s="5">
        <f t="array" ref="G22:I25">TRANSPOSE(G17:J19)</f>
        <v>1</v>
      </c>
      <c r="H22" s="5">
        <v>0</v>
      </c>
      <c r="I22" s="5">
        <v>0</v>
      </c>
      <c r="J22" s="5"/>
      <c r="K22" s="5"/>
      <c r="L22" s="5"/>
    </row>
    <row r="23" spans="7:12">
      <c r="G23" s="5">
        <v>0</v>
      </c>
      <c r="H23" s="5">
        <v>1</v>
      </c>
      <c r="I23" s="5">
        <v>0</v>
      </c>
      <c r="J23" s="5"/>
      <c r="K23" s="5"/>
      <c r="L23" s="5"/>
    </row>
    <row r="24" spans="7:12">
      <c r="G24" s="5">
        <v>0</v>
      </c>
      <c r="H24" s="5">
        <v>0</v>
      </c>
      <c r="I24" s="5">
        <v>1</v>
      </c>
      <c r="J24" s="5"/>
      <c r="K24" s="5"/>
      <c r="L24" s="5"/>
    </row>
    <row r="25" spans="7:12">
      <c r="G25" s="5">
        <v>-110.69190974050451</v>
      </c>
      <c r="H25" s="5">
        <v>-99.416385007703823</v>
      </c>
      <c r="I25" s="5">
        <v>0</v>
      </c>
      <c r="J25" s="5"/>
      <c r="K25" s="5"/>
      <c r="L25" s="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692E4-006E-4DBF-BD93-D69FAAD87EF3}">
  <dimension ref="B2:S32"/>
  <sheetViews>
    <sheetView workbookViewId="0">
      <selection activeCell="E13" sqref="E13"/>
    </sheetView>
  </sheetViews>
  <sheetFormatPr defaultRowHeight="15"/>
  <cols>
    <col min="2" max="2" width="12" bestFit="1" customWidth="1"/>
    <col min="17" max="17" width="11.85546875" customWidth="1"/>
    <col min="18" max="19" width="11.7109375" bestFit="1" customWidth="1"/>
    <col min="20" max="20" width="9.5703125" bestFit="1" customWidth="1"/>
  </cols>
  <sheetData>
    <row r="2" spans="2:19">
      <c r="B2" s="1" t="s">
        <v>0</v>
      </c>
      <c r="C2" s="1"/>
      <c r="D2" s="1"/>
      <c r="E2" s="1"/>
      <c r="F2" s="1"/>
      <c r="H2" s="5" t="s">
        <v>1</v>
      </c>
      <c r="I2" s="5"/>
      <c r="J2" s="5"/>
      <c r="K2" s="5"/>
      <c r="L2" s="5"/>
      <c r="M2" s="5"/>
      <c r="N2" s="5"/>
      <c r="O2" s="5"/>
      <c r="Q2" s="2" t="s">
        <v>2</v>
      </c>
      <c r="R2" s="2"/>
      <c r="S2" s="2"/>
    </row>
    <row r="3" spans="2:19">
      <c r="B3" s="1" t="s">
        <v>75</v>
      </c>
      <c r="C3" s="1"/>
      <c r="D3" s="1"/>
      <c r="E3" s="1"/>
      <c r="F3" s="1"/>
      <c r="H3" s="5"/>
      <c r="I3" s="5"/>
      <c r="J3" s="5"/>
      <c r="K3" s="5"/>
      <c r="L3" s="5"/>
      <c r="M3" s="5"/>
      <c r="N3" s="5"/>
      <c r="O3" s="5"/>
      <c r="Q3" s="2"/>
      <c r="R3" s="2"/>
      <c r="S3" s="2"/>
    </row>
    <row r="4" spans="2:19">
      <c r="B4" s="1" t="str">
        <f>Example_26.8!B3</f>
        <v>local laser scanner coordinates in m</v>
      </c>
      <c r="C4" s="1"/>
      <c r="D4" s="1"/>
      <c r="E4" s="1"/>
      <c r="F4" s="1"/>
      <c r="H4" s="5" t="s">
        <v>54</v>
      </c>
      <c r="I4" s="5"/>
      <c r="J4" s="5"/>
      <c r="K4" s="5"/>
      <c r="L4" s="5" t="s">
        <v>76</v>
      </c>
      <c r="M4" s="5"/>
      <c r="N4" s="5"/>
      <c r="O4" s="5"/>
      <c r="Q4" s="2" t="s">
        <v>77</v>
      </c>
      <c r="R4" s="2"/>
      <c r="S4" s="2"/>
    </row>
    <row r="5" spans="2:19">
      <c r="B5" s="1" t="str">
        <f>Example_26.8!B4</f>
        <v>xls</v>
      </c>
      <c r="C5" s="1" t="str">
        <f>Example_26.8!C4</f>
        <v xml:space="preserve">yls </v>
      </c>
      <c r="D5" s="1" t="str">
        <f>Example_26.8!D4</f>
        <v>zls</v>
      </c>
      <c r="E5" s="1"/>
      <c r="F5" s="1"/>
      <c r="H5" s="5" t="s">
        <v>58</v>
      </c>
      <c r="I5" s="5"/>
      <c r="J5" s="5" t="s">
        <v>59</v>
      </c>
      <c r="K5" s="5"/>
      <c r="L5" s="5" t="s">
        <v>78</v>
      </c>
      <c r="M5" s="5"/>
      <c r="N5" s="5"/>
      <c r="O5" s="5"/>
      <c r="Q5" s="2" t="s">
        <v>79</v>
      </c>
      <c r="R5" s="2" t="s">
        <v>80</v>
      </c>
      <c r="S5" s="2" t="s">
        <v>81</v>
      </c>
    </row>
    <row r="6" spans="2:19">
      <c r="B6" s="1">
        <f>Example_26.8!B5</f>
        <v>7.9729999999999999</v>
      </c>
      <c r="C6" s="1">
        <f>Example_26.8!C5</f>
        <v>148.56899999999999</v>
      </c>
      <c r="D6" s="1">
        <f>Example_26.8!D5</f>
        <v>33.008000000000003</v>
      </c>
      <c r="E6" s="1"/>
      <c r="F6" s="1"/>
      <c r="H6" s="5">
        <f>B12+C12/60+D12/3600</f>
        <v>45</v>
      </c>
      <c r="I6" s="5"/>
      <c r="J6" s="5">
        <f>RADIANS(H6)</f>
        <v>0.78539816339744828</v>
      </c>
      <c r="K6" s="5"/>
      <c r="L6" s="5">
        <f>B16+B20</f>
        <v>2.5935407825884639E-4</v>
      </c>
      <c r="M6" s="5">
        <f t="shared" ref="M6:N8" si="0">C16+C20</f>
        <v>-3.1299631011974235E-6</v>
      </c>
      <c r="N6" s="5">
        <f t="shared" si="0"/>
        <v>-2.2652530944793076E-6</v>
      </c>
      <c r="O6" s="5"/>
      <c r="Q6" s="4">
        <f>H30</f>
        <v>745045.03361499228</v>
      </c>
      <c r="R6" s="4">
        <f>H31</f>
        <v>128284.26190974051</v>
      </c>
      <c r="S6" s="4">
        <f>H32</f>
        <v>428.33199999999999</v>
      </c>
    </row>
    <row r="7" spans="2:19">
      <c r="B7" s="1" t="str">
        <f>Example_26.8!B6</f>
        <v>scanner origin in m</v>
      </c>
      <c r="C7" s="1">
        <f>Example_26.8!C6</f>
        <v>0</v>
      </c>
      <c r="D7" s="1">
        <f>Example_26.8!D6</f>
        <v>0</v>
      </c>
      <c r="E7" s="1"/>
      <c r="F7" s="1"/>
      <c r="H7" s="5"/>
      <c r="I7" s="5"/>
      <c r="J7" s="5"/>
      <c r="K7" s="5"/>
      <c r="L7" s="5">
        <f t="shared" ref="L7:L8" si="1">B17+B21</f>
        <v>-3.1299631011974235E-6</v>
      </c>
      <c r="M7" s="5">
        <f t="shared" si="0"/>
        <v>7.9647278421354594E-5</v>
      </c>
      <c r="N7" s="5">
        <f t="shared" si="0"/>
        <v>-4.2213263734527697E-5</v>
      </c>
      <c r="O7" s="5"/>
      <c r="Q7" s="2" t="s">
        <v>82</v>
      </c>
      <c r="R7" s="2"/>
      <c r="S7" s="2"/>
    </row>
    <row r="8" spans="2:19">
      <c r="B8" s="1" t="str">
        <f>Example_26.8!B7</f>
        <v>Tx</v>
      </c>
      <c r="C8" s="1" t="str">
        <f>Example_26.8!C7</f>
        <v>Ty</v>
      </c>
      <c r="D8" s="1" t="str">
        <f>Example_26.8!D7</f>
        <v>Tz</v>
      </c>
      <c r="E8" s="1"/>
      <c r="F8" s="1"/>
      <c r="H8" s="5" t="s">
        <v>83</v>
      </c>
      <c r="I8" s="5"/>
      <c r="J8" s="5"/>
      <c r="K8" s="5"/>
      <c r="L8" s="5">
        <f t="shared" si="1"/>
        <v>-2.2652530944793076E-6</v>
      </c>
      <c r="M8" s="5">
        <f t="shared" si="0"/>
        <v>-4.2213263734527697E-5</v>
      </c>
      <c r="N8" s="5">
        <f t="shared" si="0"/>
        <v>2.5449616594440752E-4</v>
      </c>
      <c r="O8" s="5"/>
      <c r="Q8" s="2" t="s">
        <v>84</v>
      </c>
      <c r="R8" s="2" t="s">
        <v>85</v>
      </c>
      <c r="S8" s="2" t="s">
        <v>86</v>
      </c>
    </row>
    <row r="9" spans="2:19">
      <c r="B9" s="1">
        <f>Example_26.8!B8</f>
        <v>745144.45</v>
      </c>
      <c r="C9" s="1">
        <f>Example_26.8!C8</f>
        <v>128173.57</v>
      </c>
      <c r="D9" s="1">
        <f>Example_26.8!D8</f>
        <v>395.32400000000001</v>
      </c>
      <c r="E9" s="1"/>
      <c r="F9" s="1"/>
      <c r="H9" s="5">
        <f>COS(J6)</f>
        <v>0.70710678118654757</v>
      </c>
      <c r="I9" s="5">
        <f>-SIN(J6)</f>
        <v>-0.70710678118654746</v>
      </c>
      <c r="J9" s="5">
        <v>0</v>
      </c>
      <c r="K9" s="5"/>
      <c r="L9" s="5"/>
      <c r="M9" s="5"/>
      <c r="N9" s="5"/>
      <c r="O9" s="5"/>
      <c r="Q9" s="4">
        <f>SQRT(L6)</f>
        <v>1.610447385849182E-2</v>
      </c>
      <c r="R9" s="4">
        <f>SQRT(M7)</f>
        <v>8.9245323923079906E-3</v>
      </c>
      <c r="S9" s="4">
        <f>SQRT(N8)</f>
        <v>1.5952935966285563E-2</v>
      </c>
    </row>
    <row r="10" spans="2:19">
      <c r="B10" s="1" t="str">
        <f>Example_26.8!B9</f>
        <v xml:space="preserve">Theta3 </v>
      </c>
      <c r="C10" s="1">
        <f>Example_26.8!C9</f>
        <v>0</v>
      </c>
      <c r="D10" s="1">
        <f>Example_26.8!D9</f>
        <v>0</v>
      </c>
      <c r="E10" s="1"/>
      <c r="F10" s="1"/>
      <c r="H10" s="5">
        <f>SIN(J6)</f>
        <v>0.70710678118654746</v>
      </c>
      <c r="I10" s="5">
        <f>COS(J6)</f>
        <v>0.70710678118654757</v>
      </c>
      <c r="J10" s="5">
        <v>0</v>
      </c>
      <c r="K10" s="5"/>
      <c r="L10" s="5"/>
      <c r="M10" s="5"/>
      <c r="N10" s="5"/>
      <c r="O10" s="5"/>
    </row>
    <row r="11" spans="2:19">
      <c r="B11" s="1" t="str">
        <f>Example_26.8!B10</f>
        <v>deg</v>
      </c>
      <c r="C11" s="1" t="str">
        <f>Example_26.8!C10</f>
        <v>min</v>
      </c>
      <c r="D11" s="1" t="str">
        <f>Example_26.8!D10</f>
        <v>sec</v>
      </c>
      <c r="E11" s="1"/>
      <c r="F11" s="1"/>
      <c r="H11" s="5">
        <v>0</v>
      </c>
      <c r="I11" s="5">
        <v>0</v>
      </c>
      <c r="J11" s="5">
        <v>1</v>
      </c>
      <c r="K11" s="5"/>
      <c r="L11" s="5"/>
      <c r="M11" s="5"/>
      <c r="N11" s="5"/>
      <c r="O11" s="5"/>
    </row>
    <row r="12" spans="2:19">
      <c r="B12" s="1">
        <f>Example_26.8!B11</f>
        <v>45</v>
      </c>
      <c r="C12" s="1">
        <f>Example_26.8!C11</f>
        <v>0</v>
      </c>
      <c r="D12" s="1">
        <f>Example_26.8!D11</f>
        <v>0</v>
      </c>
      <c r="E12" s="1"/>
      <c r="F12" s="1"/>
      <c r="H12" s="5"/>
      <c r="I12" s="5"/>
      <c r="J12" s="5"/>
      <c r="K12" s="5"/>
      <c r="L12" s="5"/>
      <c r="M12" s="5"/>
      <c r="N12" s="5"/>
      <c r="O12" s="5"/>
    </row>
    <row r="13" spans="2:19">
      <c r="B13" s="1"/>
      <c r="C13" s="1"/>
      <c r="D13" s="1"/>
      <c r="E13" s="1"/>
      <c r="F13" s="1"/>
      <c r="H13" s="5" t="s">
        <v>87</v>
      </c>
      <c r="I13" s="5"/>
      <c r="J13" s="5"/>
      <c r="K13" s="5"/>
      <c r="L13" s="5"/>
      <c r="M13" s="5"/>
      <c r="N13" s="5"/>
      <c r="O13" s="5"/>
    </row>
    <row r="14" spans="2:19">
      <c r="B14" s="1"/>
      <c r="C14" s="1"/>
      <c r="D14" s="1"/>
      <c r="E14" s="1"/>
      <c r="F14" s="1"/>
      <c r="H14" s="5">
        <f t="array" ref="H14:H16">TRANSPOSE(B9:D9)</f>
        <v>745144.45</v>
      </c>
      <c r="I14" s="5"/>
      <c r="J14" s="5"/>
      <c r="K14" s="5"/>
      <c r="L14" s="5"/>
      <c r="M14" s="5"/>
      <c r="N14" s="5"/>
      <c r="O14" s="5"/>
    </row>
    <row r="15" spans="2:19">
      <c r="B15" s="1" t="s">
        <v>88</v>
      </c>
      <c r="C15" s="1"/>
      <c r="D15" s="1"/>
      <c r="E15" s="1"/>
      <c r="F15" s="1"/>
      <c r="H15" s="5">
        <v>128173.57</v>
      </c>
      <c r="I15" s="5"/>
      <c r="J15" s="5"/>
      <c r="K15" s="5"/>
      <c r="L15" s="5"/>
      <c r="M15" s="5"/>
      <c r="N15" s="5"/>
      <c r="O15" s="5"/>
    </row>
    <row r="16" spans="2:19">
      <c r="B16" s="1">
        <f>Example_26.7!O27</f>
        <v>2.2715426051413509E-4</v>
      </c>
      <c r="C16" s="1">
        <f>Example_26.7!P27</f>
        <v>-9.5963783484500929E-6</v>
      </c>
      <c r="D16" s="1">
        <f>Example_26.7!Q27</f>
        <v>-2.2652530944793076E-6</v>
      </c>
      <c r="E16" s="1"/>
      <c r="F16" s="1"/>
      <c r="H16" s="5">
        <v>395.32400000000001</v>
      </c>
      <c r="I16" s="5"/>
      <c r="J16" s="5"/>
      <c r="K16" s="5"/>
      <c r="L16" s="5"/>
      <c r="M16" s="5"/>
      <c r="N16" s="5"/>
      <c r="O16" s="5"/>
    </row>
    <row r="17" spans="2:15">
      <c r="B17" s="1">
        <f>Example_26.7!O28</f>
        <v>-9.5963783484500929E-6</v>
      </c>
      <c r="C17" s="1">
        <f>Example_26.7!P28</f>
        <v>4.8839558332798565E-5</v>
      </c>
      <c r="D17" s="1">
        <f>Example_26.7!Q28</f>
        <v>-4.2213263734527697E-5</v>
      </c>
      <c r="E17" s="1"/>
      <c r="F17" s="1"/>
      <c r="H17" s="5"/>
      <c r="I17" s="5"/>
      <c r="J17" s="5"/>
      <c r="K17" s="5"/>
      <c r="L17" s="5"/>
      <c r="M17" s="5"/>
      <c r="N17" s="5"/>
      <c r="O17" s="5"/>
    </row>
    <row r="18" spans="2:15">
      <c r="B18" s="1">
        <f>Example_26.7!O29</f>
        <v>-2.2652530944793076E-6</v>
      </c>
      <c r="C18" s="1">
        <f>Example_26.7!P29</f>
        <v>-4.2213263734527697E-5</v>
      </c>
      <c r="D18" s="1">
        <f>Example_26.7!Q29</f>
        <v>2.2949616594440753E-4</v>
      </c>
      <c r="E18" s="1"/>
      <c r="F18" s="1"/>
      <c r="H18" s="5" t="s">
        <v>89</v>
      </c>
      <c r="I18" s="5"/>
      <c r="J18" s="5"/>
      <c r="K18" s="5"/>
      <c r="L18" s="5"/>
      <c r="M18" s="5"/>
      <c r="N18" s="5"/>
      <c r="O18" s="5"/>
    </row>
    <row r="19" spans="2:15">
      <c r="B19" s="1" t="s">
        <v>90</v>
      </c>
      <c r="C19" s="1"/>
      <c r="D19" s="1"/>
      <c r="E19" s="1"/>
      <c r="F19" s="1"/>
      <c r="H19" s="5">
        <f t="array" ref="H19:H21">TRANSPOSE(B6:D6)</f>
        <v>7.9729999999999999</v>
      </c>
      <c r="I19" s="5"/>
      <c r="J19" s="5"/>
      <c r="K19" s="5"/>
      <c r="L19" s="5"/>
      <c r="M19" s="5"/>
      <c r="N19" s="5"/>
      <c r="O19" s="5"/>
    </row>
    <row r="20" spans="2:15">
      <c r="B20" s="1">
        <f>Example_26.8!N9</f>
        <v>3.2199817744711282E-5</v>
      </c>
      <c r="C20" s="1">
        <f>Example_26.8!O9</f>
        <v>6.4664152472526695E-6</v>
      </c>
      <c r="D20" s="1">
        <f>Example_26.8!P9</f>
        <v>0</v>
      </c>
      <c r="E20" s="1"/>
      <c r="F20" s="1"/>
      <c r="H20" s="5">
        <v>148.56899999999999</v>
      </c>
      <c r="I20" s="5"/>
      <c r="J20" s="5"/>
      <c r="K20" s="5"/>
      <c r="L20" s="5"/>
      <c r="M20" s="5"/>
      <c r="N20" s="5"/>
      <c r="O20" s="5"/>
    </row>
    <row r="21" spans="2:15">
      <c r="B21" s="1">
        <f>Example_26.8!N10</f>
        <v>6.4664152472526695E-6</v>
      </c>
      <c r="C21" s="1">
        <f>Example_26.8!O10</f>
        <v>3.0807720088556022E-5</v>
      </c>
      <c r="D21" s="1">
        <f>Example_26.8!P10</f>
        <v>0</v>
      </c>
      <c r="E21" s="1"/>
      <c r="F21" s="1"/>
      <c r="H21" s="5">
        <v>33.008000000000003</v>
      </c>
      <c r="I21" s="5"/>
      <c r="J21" s="5"/>
      <c r="K21" s="5"/>
      <c r="L21" s="5"/>
      <c r="M21" s="5"/>
      <c r="N21" s="5"/>
      <c r="O21" s="5"/>
    </row>
    <row r="22" spans="2:15">
      <c r="B22" s="1">
        <f>Example_26.8!N11</f>
        <v>0</v>
      </c>
      <c r="C22" s="1">
        <f>Example_26.8!O11</f>
        <v>0</v>
      </c>
      <c r="D22" s="1">
        <f>Example_26.8!P11</f>
        <v>2.5000000000000001E-5</v>
      </c>
      <c r="E22" s="1"/>
      <c r="F22" s="1"/>
      <c r="H22" s="5"/>
      <c r="I22" s="5"/>
      <c r="J22" s="5"/>
      <c r="K22" s="5"/>
      <c r="L22" s="5"/>
      <c r="M22" s="5"/>
      <c r="N22" s="5"/>
      <c r="O22" s="5"/>
    </row>
    <row r="23" spans="2:15">
      <c r="B23" s="1"/>
      <c r="C23" s="1"/>
      <c r="D23" s="1"/>
      <c r="E23" s="1"/>
      <c r="F23" s="1"/>
      <c r="H23" s="5" t="s">
        <v>91</v>
      </c>
      <c r="I23" s="5"/>
      <c r="J23" s="5"/>
      <c r="K23" s="5"/>
      <c r="L23" s="5"/>
      <c r="M23" s="5"/>
      <c r="N23" s="5"/>
      <c r="O23" s="5"/>
    </row>
    <row r="24" spans="2:15">
      <c r="H24" s="5" t="s">
        <v>92</v>
      </c>
      <c r="I24" s="5"/>
      <c r="J24" s="5"/>
      <c r="K24" s="5"/>
      <c r="L24" s="5"/>
      <c r="M24" s="5"/>
      <c r="N24" s="5"/>
      <c r="O24" s="5"/>
    </row>
    <row r="25" spans="2:15">
      <c r="H25" s="5" cm="1">
        <f t="array" ref="H25:H27">MMULT(H9:J11,H19:H21)</f>
        <v>-99.416385007703823</v>
      </c>
      <c r="I25" s="5"/>
      <c r="J25" s="5"/>
      <c r="K25" s="5"/>
      <c r="L25" s="5"/>
      <c r="M25" s="5"/>
      <c r="N25" s="5"/>
      <c r="O25" s="5"/>
    </row>
    <row r="26" spans="2:15">
      <c r="H26" s="5">
        <v>110.69190974050451</v>
      </c>
      <c r="I26" s="5"/>
      <c r="J26" s="5"/>
      <c r="K26" s="5"/>
      <c r="L26" s="5"/>
      <c r="M26" s="5"/>
      <c r="N26" s="5"/>
      <c r="O26" s="5"/>
    </row>
    <row r="27" spans="2:15">
      <c r="H27" s="5">
        <v>33.008000000000003</v>
      </c>
      <c r="I27" s="5"/>
      <c r="J27" s="5"/>
      <c r="K27" s="5"/>
      <c r="L27" s="5"/>
      <c r="M27" s="5"/>
      <c r="N27" s="5"/>
      <c r="O27" s="5"/>
    </row>
    <row r="28" spans="2:15">
      <c r="H28" s="5"/>
      <c r="I28" s="5"/>
      <c r="J28" s="5"/>
      <c r="K28" s="5"/>
      <c r="L28" s="5"/>
      <c r="M28" s="5"/>
      <c r="N28" s="5"/>
      <c r="O28" s="5"/>
    </row>
    <row r="29" spans="2:15">
      <c r="H29" s="5" t="s">
        <v>93</v>
      </c>
      <c r="I29" s="5"/>
      <c r="J29" s="5"/>
      <c r="K29" s="5"/>
      <c r="L29" s="5"/>
      <c r="M29" s="5"/>
      <c r="N29" s="5"/>
      <c r="O29" s="5"/>
    </row>
    <row r="30" spans="2:15">
      <c r="H30" s="5">
        <f>H14+H25</f>
        <v>745045.03361499228</v>
      </c>
      <c r="I30" s="5"/>
      <c r="J30" s="5"/>
      <c r="K30" s="5"/>
      <c r="L30" s="5"/>
      <c r="M30" s="5"/>
      <c r="N30" s="5"/>
      <c r="O30" s="5"/>
    </row>
    <row r="31" spans="2:15">
      <c r="H31" s="5">
        <f t="shared" ref="H31:H32" si="2">H15+H26</f>
        <v>128284.26190974051</v>
      </c>
      <c r="I31" s="5"/>
      <c r="J31" s="5"/>
      <c r="K31" s="5"/>
      <c r="L31" s="5"/>
      <c r="M31" s="5"/>
      <c r="N31" s="5"/>
      <c r="O31" s="5"/>
    </row>
    <row r="32" spans="2:15">
      <c r="H32" s="5">
        <f t="shared" si="2"/>
        <v>428.33199999999999</v>
      </c>
      <c r="I32" s="5"/>
      <c r="J32" s="5"/>
      <c r="K32" s="5"/>
      <c r="L32" s="5"/>
      <c r="M32" s="5"/>
      <c r="N32" s="5"/>
      <c r="O32" s="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BC5EF-9E85-48BE-BB62-46939B787063}">
  <dimension ref="B2:H15"/>
  <sheetViews>
    <sheetView workbookViewId="0">
      <selection activeCell="L24" sqref="L24"/>
    </sheetView>
  </sheetViews>
  <sheetFormatPr defaultRowHeight="15"/>
  <cols>
    <col min="7" max="7" width="17.7109375" customWidth="1"/>
  </cols>
  <sheetData>
    <row r="2" spans="2:8">
      <c r="B2" s="1" t="s">
        <v>0</v>
      </c>
      <c r="C2" s="1"/>
      <c r="D2" s="1"/>
      <c r="E2" s="1"/>
      <c r="G2" s="5" t="s">
        <v>50</v>
      </c>
      <c r="H2" s="5"/>
    </row>
    <row r="3" spans="2:8">
      <c r="B3" s="1" t="s">
        <v>94</v>
      </c>
      <c r="C3" s="1"/>
      <c r="D3" s="1"/>
      <c r="E3" s="1"/>
      <c r="G3" s="5"/>
      <c r="H3" s="5"/>
    </row>
    <row r="4" spans="2:8">
      <c r="B4" s="1" t="str">
        <f>Example_26.9!B15</f>
        <v>Σ_xyz_ls</v>
      </c>
      <c r="C4" s="1"/>
      <c r="D4" s="1"/>
      <c r="E4" s="1"/>
      <c r="G4" s="5" t="s">
        <v>95</v>
      </c>
      <c r="H4" s="5"/>
    </row>
    <row r="5" spans="2:8">
      <c r="B5" s="1">
        <f>Example_26.9!B16</f>
        <v>2.2715426051413509E-4</v>
      </c>
      <c r="C5" s="1">
        <f>Example_26.9!C16</f>
        <v>-9.5963783484500929E-6</v>
      </c>
      <c r="D5" s="1">
        <f>Example_26.9!D16</f>
        <v>-2.2652530944793076E-6</v>
      </c>
      <c r="E5" s="1"/>
      <c r="G5" s="5">
        <f>SQRT(B5+C6+D7)</f>
        <v>2.2483104429578696E-2</v>
      </c>
      <c r="H5" s="5"/>
    </row>
    <row r="6" spans="2:8">
      <c r="B6" s="1">
        <f>Example_26.9!B17</f>
        <v>-9.5963783484500929E-6</v>
      </c>
      <c r="C6" s="1">
        <f>Example_26.9!C17</f>
        <v>4.8839558332798565E-5</v>
      </c>
      <c r="D6" s="1">
        <f>Example_26.9!D17</f>
        <v>-4.2213263734527697E-5</v>
      </c>
      <c r="E6" s="1"/>
      <c r="G6" s="5" t="s">
        <v>96</v>
      </c>
      <c r="H6" s="5"/>
    </row>
    <row r="7" spans="2:8">
      <c r="B7" s="1">
        <f>Example_26.9!B18</f>
        <v>-2.2652530944793076E-6</v>
      </c>
      <c r="C7" s="1">
        <f>Example_26.9!C18</f>
        <v>-4.2213263734527697E-5</v>
      </c>
      <c r="D7" s="1">
        <f>Example_26.9!D18</f>
        <v>2.2949616594440753E-4</v>
      </c>
      <c r="E7" s="1"/>
      <c r="G7" s="5">
        <f>SQRT(B9+C10+D11)</f>
        <v>9.3812332789067407E-3</v>
      </c>
      <c r="H7" s="5"/>
    </row>
    <row r="8" spans="2:8">
      <c r="B8" s="1" t="str">
        <f>Example_26.9!B19</f>
        <v xml:space="preserve">Σxyz_reg </v>
      </c>
      <c r="C8" s="1"/>
      <c r="D8" s="1"/>
      <c r="E8" s="1"/>
    </row>
    <row r="9" spans="2:8">
      <c r="B9" s="1">
        <f>Example_26.9!B20</f>
        <v>3.2199817744711282E-5</v>
      </c>
      <c r="C9" s="1">
        <f>Example_26.9!C20</f>
        <v>6.4664152472526695E-6</v>
      </c>
      <c r="D9" s="1">
        <f>Example_26.9!D20</f>
        <v>0</v>
      </c>
      <c r="E9" s="1"/>
      <c r="G9" s="2" t="s">
        <v>2</v>
      </c>
      <c r="H9" s="2"/>
    </row>
    <row r="10" spans="2:8">
      <c r="B10" s="1">
        <f>Example_26.9!B21</f>
        <v>6.4664152472526695E-6</v>
      </c>
      <c r="C10" s="1">
        <f>Example_26.9!C21</f>
        <v>3.0807720088556022E-5</v>
      </c>
      <c r="D10" s="1">
        <f>Example_26.9!D21</f>
        <v>0</v>
      </c>
      <c r="E10" s="1"/>
      <c r="G10" s="2" t="s">
        <v>97</v>
      </c>
      <c r="H10" s="2"/>
    </row>
    <row r="11" spans="2:8">
      <c r="B11" s="1">
        <f>Example_26.9!B22</f>
        <v>0</v>
      </c>
      <c r="C11" s="1">
        <f>Example_26.9!C22</f>
        <v>0</v>
      </c>
      <c r="D11" s="1">
        <f>Example_26.9!D22</f>
        <v>2.5000000000000001E-5</v>
      </c>
      <c r="E11" s="1"/>
      <c r="G11" s="2" t="s">
        <v>98</v>
      </c>
      <c r="H11" s="2"/>
    </row>
    <row r="12" spans="2:8">
      <c r="B12" s="1" t="str">
        <f>Example_26.9!L5</f>
        <v>Σxyz_m = Σxyz_ls+Σreg</v>
      </c>
      <c r="C12" s="1"/>
      <c r="D12" s="1"/>
      <c r="E12" s="1"/>
      <c r="G12" s="2">
        <f>SQRT(G5^2+G7^2)</f>
        <v>2.4361804584730754E-2</v>
      </c>
      <c r="H12" s="2"/>
    </row>
    <row r="13" spans="2:8">
      <c r="B13" s="1">
        <f>Example_26.9!L6</f>
        <v>2.5935407825884639E-4</v>
      </c>
      <c r="C13" s="1">
        <f>Example_26.9!M6</f>
        <v>-3.1299631011974235E-6</v>
      </c>
      <c r="D13" s="1">
        <f>Example_26.9!N6</f>
        <v>-2.2652530944793076E-6</v>
      </c>
      <c r="E13" s="1"/>
      <c r="G13" s="2" t="s">
        <v>99</v>
      </c>
      <c r="H13" s="2"/>
    </row>
    <row r="14" spans="2:8">
      <c r="B14" s="1">
        <f>Example_26.9!L7</f>
        <v>-3.1299631011974235E-6</v>
      </c>
      <c r="C14" s="1">
        <f>Example_26.9!M7</f>
        <v>7.9647278421354594E-5</v>
      </c>
      <c r="D14" s="1">
        <f>Example_26.9!N7</f>
        <v>-4.2213263734527697E-5</v>
      </c>
      <c r="E14" s="1"/>
      <c r="G14" s="2" t="s">
        <v>98</v>
      </c>
      <c r="H14" s="2"/>
    </row>
    <row r="15" spans="2:8">
      <c r="B15" s="1">
        <f>Example_26.9!L8</f>
        <v>-2.2652530944793076E-6</v>
      </c>
      <c r="C15" s="1">
        <f>Example_26.9!M8</f>
        <v>-4.2213263734527697E-5</v>
      </c>
      <c r="D15" s="1">
        <f>Example_26.9!N8</f>
        <v>2.5449616594440752E-4</v>
      </c>
      <c r="E15" s="1"/>
      <c r="G15" s="2">
        <f>SQRT(B13+C14+D15)</f>
        <v>2.4361804584730758E-2</v>
      </c>
      <c r="H15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C0B80-0F26-4C12-8312-CF4C5F34FB5E}">
  <dimension ref="B2:E15"/>
  <sheetViews>
    <sheetView workbookViewId="0">
      <selection activeCell="B1" sqref="B1"/>
    </sheetView>
  </sheetViews>
  <sheetFormatPr defaultRowHeight="15"/>
  <cols>
    <col min="4" max="4" width="11.28515625" customWidth="1"/>
  </cols>
  <sheetData>
    <row r="2" spans="2:5">
      <c r="B2" s="1" t="s">
        <v>0</v>
      </c>
      <c r="C2" s="1"/>
      <c r="D2" s="1"/>
      <c r="E2" s="1"/>
    </row>
    <row r="3" spans="2:5">
      <c r="B3" s="1" t="s">
        <v>100</v>
      </c>
      <c r="C3" s="1"/>
      <c r="D3" s="1"/>
      <c r="E3" s="1"/>
    </row>
    <row r="4" spans="2:5">
      <c r="B4" s="1">
        <v>2.54</v>
      </c>
      <c r="C4" s="1"/>
      <c r="D4" s="1"/>
      <c r="E4" s="1"/>
    </row>
    <row r="6" spans="2:5">
      <c r="B6" s="5" t="s">
        <v>50</v>
      </c>
      <c r="C6" s="5"/>
      <c r="D6" s="5"/>
      <c r="E6" s="5"/>
    </row>
    <row r="7" spans="2:5">
      <c r="B7" s="5" t="s">
        <v>101</v>
      </c>
      <c r="C7" s="5"/>
      <c r="D7" s="5"/>
      <c r="E7" s="5"/>
    </row>
    <row r="8" spans="2:5">
      <c r="B8" s="5">
        <f>B4/1.614</f>
        <v>1.5737298636926889</v>
      </c>
      <c r="C8" s="5"/>
      <c r="D8" s="5"/>
      <c r="E8" s="5"/>
    </row>
    <row r="9" spans="2:5">
      <c r="B9" s="5"/>
      <c r="C9" s="5"/>
      <c r="D9" s="5"/>
      <c r="E9" s="5"/>
    </row>
    <row r="10" spans="2:5">
      <c r="B10" s="5" t="s">
        <v>102</v>
      </c>
      <c r="C10" s="5"/>
      <c r="D10" s="5"/>
      <c r="E10" s="5"/>
    </row>
    <row r="11" spans="2:5">
      <c r="B11" s="5">
        <f>B8/SQRT(3)</f>
        <v>0.90859336043472705</v>
      </c>
      <c r="C11" s="5"/>
      <c r="D11" s="5"/>
      <c r="E11" s="5"/>
    </row>
    <row r="13" spans="2:5">
      <c r="B13" s="2" t="s">
        <v>103</v>
      </c>
      <c r="C13" s="2"/>
      <c r="D13" s="2"/>
      <c r="E13" s="2"/>
    </row>
    <row r="14" spans="2:5">
      <c r="B14" s="2" t="s">
        <v>104</v>
      </c>
      <c r="C14" s="2"/>
      <c r="D14" s="2"/>
      <c r="E14" s="2"/>
    </row>
    <row r="15" spans="2:5">
      <c r="B15" s="2">
        <f>B11</f>
        <v>0.90859336043472705</v>
      </c>
      <c r="C15" s="2"/>
      <c r="D15" s="2"/>
      <c r="E15" s="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FFC3E-76F3-48C6-B926-8D7E569439C7}">
  <dimension ref="B2:U43"/>
  <sheetViews>
    <sheetView workbookViewId="0">
      <selection activeCell="G11" sqref="G11"/>
    </sheetView>
  </sheetViews>
  <sheetFormatPr defaultRowHeight="15"/>
  <cols>
    <col min="8" max="8" width="12" bestFit="1" customWidth="1"/>
    <col min="9" max="9" width="10.85546875" customWidth="1"/>
    <col min="10" max="10" width="12.7109375" bestFit="1" customWidth="1"/>
    <col min="11" max="11" width="10.5703125" customWidth="1"/>
    <col min="13" max="13" width="11" customWidth="1"/>
    <col min="14" max="15" width="12.7109375" bestFit="1" customWidth="1"/>
  </cols>
  <sheetData>
    <row r="2" spans="2:21">
      <c r="B2" s="1" t="s">
        <v>105</v>
      </c>
      <c r="C2" s="1"/>
      <c r="D2" s="1"/>
      <c r="E2" s="1"/>
      <c r="F2" s="1"/>
      <c r="H2" s="5" t="s">
        <v>50</v>
      </c>
      <c r="I2" s="5"/>
      <c r="J2" s="11" t="s">
        <v>106</v>
      </c>
      <c r="K2" s="11"/>
      <c r="L2" s="11"/>
      <c r="M2" s="11"/>
      <c r="Q2" s="2" t="s">
        <v>2</v>
      </c>
      <c r="R2" s="2"/>
      <c r="S2" s="2"/>
      <c r="T2" s="2"/>
      <c r="U2" s="2"/>
    </row>
    <row r="3" spans="2:21">
      <c r="B3" s="1" t="s">
        <v>3</v>
      </c>
      <c r="C3" s="1"/>
      <c r="D3" s="1"/>
      <c r="E3" s="1"/>
      <c r="F3" s="1"/>
      <c r="H3" s="5"/>
      <c r="I3" s="5"/>
      <c r="J3" s="12">
        <f>SQRT(B26^2-H5^2)</f>
        <v>1.3095419046368848</v>
      </c>
      <c r="K3" s="11"/>
      <c r="L3" s="11"/>
      <c r="M3" s="11"/>
      <c r="Q3" s="2" t="s">
        <v>107</v>
      </c>
      <c r="R3" s="2"/>
      <c r="S3" s="2"/>
      <c r="T3" s="2"/>
      <c r="U3" s="2"/>
    </row>
    <row r="4" spans="2:21">
      <c r="B4" s="1">
        <v>12</v>
      </c>
      <c r="C4" s="1"/>
      <c r="D4" s="1"/>
      <c r="E4" s="1"/>
      <c r="F4" s="1"/>
      <c r="H4" s="5" t="s">
        <v>108</v>
      </c>
      <c r="I4" s="5"/>
      <c r="Q4" s="8">
        <f>M35*100</f>
        <v>1.3057288421291942</v>
      </c>
      <c r="R4" s="2"/>
      <c r="S4" s="2"/>
      <c r="T4" s="2"/>
      <c r="U4" s="2"/>
    </row>
    <row r="5" spans="2:21">
      <c r="B5" s="1" t="s">
        <v>10</v>
      </c>
      <c r="C5" s="1"/>
      <c r="D5" s="1"/>
      <c r="E5" s="1"/>
      <c r="F5" s="1"/>
      <c r="H5" s="10">
        <f>SQRT(3*B28^2)</f>
        <v>0.8660254037844386</v>
      </c>
      <c r="I5" s="5"/>
      <c r="Q5" s="2"/>
      <c r="R5" s="2"/>
      <c r="S5" s="2"/>
      <c r="T5" s="2"/>
      <c r="U5" s="2"/>
    </row>
    <row r="6" spans="2:21">
      <c r="B6" s="1">
        <v>12</v>
      </c>
      <c r="C6" s="1"/>
      <c r="D6" s="1"/>
      <c r="E6" s="1"/>
      <c r="F6" s="1"/>
      <c r="H6" s="5"/>
      <c r="I6" s="5"/>
      <c r="Q6" s="2" t="s">
        <v>109</v>
      </c>
      <c r="R6" s="2"/>
      <c r="S6" s="2"/>
      <c r="T6" s="2"/>
      <c r="U6" s="2"/>
    </row>
    <row r="7" spans="2:21">
      <c r="B7" s="1" t="s">
        <v>15</v>
      </c>
      <c r="C7" s="1"/>
      <c r="D7" s="1"/>
      <c r="E7" s="1"/>
      <c r="F7" s="1"/>
      <c r="Q7" s="2" t="str">
        <f>IF(Q4&lt;J3, "Range Satisfies Project Requirements", "Range Does Not Satisfy Project Requirements")</f>
        <v>Range Satisfies Project Requirements</v>
      </c>
      <c r="R7" s="2"/>
      <c r="S7" s="2"/>
      <c r="T7" s="2"/>
      <c r="U7" s="2"/>
    </row>
    <row r="8" spans="2:21">
      <c r="B8" s="1">
        <v>2</v>
      </c>
      <c r="C8" s="1"/>
      <c r="D8" s="1"/>
      <c r="E8" s="1"/>
      <c r="F8" s="1"/>
    </row>
    <row r="9" spans="2:21">
      <c r="B9" s="1" t="s">
        <v>20</v>
      </c>
      <c r="C9" s="1"/>
      <c r="D9" s="1"/>
      <c r="E9" s="1"/>
      <c r="F9" s="1"/>
      <c r="H9" s="5"/>
      <c r="I9" s="5"/>
      <c r="J9" s="5"/>
      <c r="K9" s="5"/>
      <c r="L9" s="5"/>
      <c r="M9" s="5"/>
      <c r="N9" s="5"/>
      <c r="O9" s="5"/>
    </row>
    <row r="10" spans="2:21">
      <c r="B10" s="1">
        <v>1.5</v>
      </c>
      <c r="C10" s="1"/>
      <c r="D10" s="1"/>
      <c r="E10" s="1"/>
      <c r="F10" s="1"/>
      <c r="H10" s="5" t="s">
        <v>110</v>
      </c>
      <c r="I10" s="5"/>
      <c r="J10" s="5"/>
      <c r="K10" s="5"/>
      <c r="L10" s="5"/>
      <c r="M10" s="5" t="s">
        <v>111</v>
      </c>
      <c r="N10" s="5"/>
      <c r="O10" s="5"/>
    </row>
    <row r="11" spans="2:21">
      <c r="B11" s="1" t="s">
        <v>26</v>
      </c>
      <c r="C11" s="1"/>
      <c r="D11" s="1"/>
      <c r="E11" s="1"/>
      <c r="F11" s="1"/>
      <c r="H11" s="5">
        <f>B18+C18/60+D18/3600</f>
        <v>90</v>
      </c>
      <c r="I11" s="5"/>
      <c r="J11" s="5">
        <f>RADIANS(H11)</f>
        <v>1.5707963267948966</v>
      </c>
      <c r="K11" s="5"/>
      <c r="L11" s="5"/>
      <c r="M11" s="5">
        <f>H43^2</f>
        <v>1.0568501874999994E-4</v>
      </c>
      <c r="N11" s="5">
        <v>0</v>
      </c>
      <c r="O11" s="5">
        <v>0</v>
      </c>
    </row>
    <row r="12" spans="2:21">
      <c r="B12" s="1">
        <v>10</v>
      </c>
      <c r="C12" s="1"/>
      <c r="D12" s="1"/>
      <c r="E12" s="1"/>
      <c r="F12" s="1"/>
      <c r="H12" s="5"/>
      <c r="I12" s="5"/>
      <c r="J12" s="5"/>
      <c r="K12" s="5"/>
      <c r="L12" s="5"/>
      <c r="M12" s="5">
        <v>0</v>
      </c>
      <c r="N12" s="5">
        <f>H36^2</f>
        <v>1.0284905719786487E-8</v>
      </c>
      <c r="O12" s="5">
        <v>0</v>
      </c>
    </row>
    <row r="13" spans="2:21">
      <c r="B13" s="1" t="s">
        <v>27</v>
      </c>
      <c r="C13" s="1"/>
      <c r="D13" s="1"/>
      <c r="E13" s="1"/>
      <c r="F13" s="1"/>
      <c r="H13" s="5" t="s">
        <v>112</v>
      </c>
      <c r="I13" s="5"/>
      <c r="J13" s="5"/>
      <c r="K13" s="5"/>
      <c r="L13" s="5"/>
      <c r="M13" s="5">
        <v>0</v>
      </c>
      <c r="N13" s="5">
        <v>0</v>
      </c>
      <c r="O13" s="5">
        <f>H38^2</f>
        <v>1.0284905719786487E-8</v>
      </c>
    </row>
    <row r="14" spans="2:21">
      <c r="B14" s="1">
        <v>0.33</v>
      </c>
      <c r="C14" s="1"/>
      <c r="D14" s="1"/>
      <c r="E14" s="1"/>
      <c r="F14" s="1"/>
      <c r="H14" s="5">
        <f>B21+C21/60+D21/3600</f>
        <v>60</v>
      </c>
      <c r="I14" s="5"/>
      <c r="J14" s="5">
        <f>RADIANS(H14)</f>
        <v>1.0471975511965976</v>
      </c>
      <c r="K14" s="5"/>
      <c r="L14" s="5"/>
      <c r="M14" s="5"/>
      <c r="N14" s="5"/>
      <c r="O14" s="5"/>
    </row>
    <row r="15" spans="2:21">
      <c r="B15" s="1"/>
      <c r="C15" s="1"/>
      <c r="D15" s="1"/>
      <c r="E15" s="1"/>
      <c r="F15" s="1"/>
      <c r="H15" s="5"/>
      <c r="I15" s="5"/>
      <c r="J15" s="5"/>
      <c r="K15" s="5"/>
      <c r="L15" s="5"/>
      <c r="M15" s="5" t="s">
        <v>113</v>
      </c>
      <c r="N15" s="5"/>
      <c r="O15" s="5"/>
    </row>
    <row r="16" spans="2:21">
      <c r="B16" s="1" t="s">
        <v>33</v>
      </c>
      <c r="C16" s="1"/>
      <c r="D16" s="1"/>
      <c r="E16" s="1"/>
      <c r="F16" s="1"/>
      <c r="H16" s="5" t="s">
        <v>114</v>
      </c>
      <c r="I16" s="5"/>
      <c r="J16" s="5"/>
      <c r="K16" s="5"/>
      <c r="L16" s="5"/>
      <c r="M16" s="5">
        <f t="array" ref="M16:O18">TRANSPOSE(H20:J22)</f>
        <v>3.0628711372715506E-17</v>
      </c>
      <c r="N16" s="5">
        <v>0.50000000000000011</v>
      </c>
      <c r="O16" s="5">
        <v>0.8660254037844386</v>
      </c>
    </row>
    <row r="17" spans="2:15">
      <c r="B17" s="1" t="s">
        <v>34</v>
      </c>
      <c r="C17" s="1" t="s">
        <v>35</v>
      </c>
      <c r="D17" s="1" t="s">
        <v>36</v>
      </c>
      <c r="E17" s="1"/>
      <c r="F17" s="1"/>
      <c r="H17" s="5"/>
      <c r="I17" s="5"/>
      <c r="J17" s="5">
        <f>RADIANS(B23)</f>
        <v>1.0471975511965976</v>
      </c>
      <c r="K17" s="5"/>
      <c r="L17" s="5"/>
      <c r="M17" s="5">
        <v>-35.500000000000007</v>
      </c>
      <c r="N17" s="5">
        <v>2.1746385074628009E-15</v>
      </c>
      <c r="O17" s="5">
        <v>0</v>
      </c>
    </row>
    <row r="18" spans="2:15">
      <c r="B18" s="1">
        <v>90</v>
      </c>
      <c r="C18" s="1">
        <v>0</v>
      </c>
      <c r="D18" s="1">
        <v>0</v>
      </c>
      <c r="E18" s="1"/>
      <c r="F18" s="1"/>
      <c r="H18" s="5"/>
      <c r="I18" s="5"/>
      <c r="J18" s="5"/>
      <c r="K18" s="5"/>
      <c r="L18" s="5"/>
      <c r="M18" s="5">
        <v>-3.7665843830213213E-15</v>
      </c>
      <c r="N18" s="5">
        <v>-61.487803668695143</v>
      </c>
      <c r="O18" s="5">
        <v>35.500000000000007</v>
      </c>
    </row>
    <row r="19" spans="2:15">
      <c r="B19" s="1" t="s">
        <v>39</v>
      </c>
      <c r="C19" s="1"/>
      <c r="D19" s="1"/>
      <c r="E19" s="1"/>
      <c r="F19" s="1"/>
      <c r="H19" s="5" t="s">
        <v>115</v>
      </c>
      <c r="I19" s="5"/>
      <c r="J19" s="5"/>
      <c r="K19" s="5"/>
      <c r="L19" s="5"/>
      <c r="M19" s="5"/>
      <c r="N19" s="5"/>
      <c r="O19" s="5"/>
    </row>
    <row r="20" spans="2:15">
      <c r="B20" s="1" t="s">
        <v>34</v>
      </c>
      <c r="C20" s="1" t="s">
        <v>42</v>
      </c>
      <c r="D20" s="1" t="s">
        <v>36</v>
      </c>
      <c r="E20" s="1"/>
      <c r="F20" s="1"/>
      <c r="H20" s="7">
        <f>COS(J14)*COS(J11)</f>
        <v>3.0628711372715506E-17</v>
      </c>
      <c r="I20" s="7">
        <f>-B33*COS(J14)*SIN(J11)</f>
        <v>-35.500000000000007</v>
      </c>
      <c r="J20" s="7">
        <f>-B33*SIN(J14)*COS(J11)</f>
        <v>-3.7665843830213213E-15</v>
      </c>
      <c r="K20" s="5"/>
      <c r="L20" s="5"/>
      <c r="M20" s="5" t="s">
        <v>116</v>
      </c>
      <c r="N20" s="5"/>
      <c r="O20" s="5"/>
    </row>
    <row r="21" spans="2:15">
      <c r="B21" s="1">
        <v>60</v>
      </c>
      <c r="C21" s="1">
        <v>0</v>
      </c>
      <c r="D21" s="1">
        <v>0</v>
      </c>
      <c r="E21" s="1"/>
      <c r="F21" s="1"/>
      <c r="H21" s="7">
        <f>COS(J14)*SIN(J11)</f>
        <v>0.50000000000000011</v>
      </c>
      <c r="I21" s="7">
        <f>B33*COS(J14)*COS(J11)</f>
        <v>2.1746385074628009E-15</v>
      </c>
      <c r="J21" s="7">
        <f>-B33*SIN(J14)*SIN(J11)</f>
        <v>-61.487803668695143</v>
      </c>
      <c r="K21" s="5"/>
      <c r="L21" s="5"/>
      <c r="M21" s="5">
        <f t="array" ref="M21:O23">MMULT(H20:J22,M11:O13)</f>
        <v>3.2369959357137746E-21</v>
      </c>
      <c r="N21" s="5">
        <v>-3.6511415305242032E-7</v>
      </c>
      <c r="O21" s="5">
        <v>-3.873896526499444E-23</v>
      </c>
    </row>
    <row r="22" spans="2:15">
      <c r="B22" s="1" t="s">
        <v>43</v>
      </c>
      <c r="C22" s="1"/>
      <c r="D22" s="1"/>
      <c r="E22" s="1"/>
      <c r="F22" s="1"/>
      <c r="H22" s="7">
        <f>SIN(J14)</f>
        <v>0.8660254037844386</v>
      </c>
      <c r="I22" s="7">
        <v>0</v>
      </c>
      <c r="J22" s="7">
        <f>B33*COS(J14)</f>
        <v>35.500000000000007</v>
      </c>
      <c r="K22" s="5"/>
      <c r="L22" s="5"/>
      <c r="M22" s="5">
        <v>5.2842509374999984E-5</v>
      </c>
      <c r="N22" s="5">
        <v>2.2365952023872108E-23</v>
      </c>
      <c r="O22" s="5">
        <v>-6.3239626364927116E-7</v>
      </c>
    </row>
    <row r="23" spans="2:15">
      <c r="B23" s="1">
        <v>60</v>
      </c>
      <c r="C23" s="1"/>
      <c r="D23" s="1"/>
      <c r="E23" s="1"/>
      <c r="F23" s="1"/>
      <c r="H23" s="5"/>
      <c r="I23" s="5"/>
      <c r="J23" s="5"/>
      <c r="K23" s="5"/>
      <c r="L23" s="5"/>
      <c r="M23" s="5">
        <v>9.1525911036934669E-5</v>
      </c>
      <c r="N23" s="5">
        <v>0</v>
      </c>
      <c r="O23" s="5">
        <v>3.6511415305242032E-7</v>
      </c>
    </row>
    <row r="24" spans="2:15">
      <c r="B24" s="1"/>
      <c r="C24" s="1"/>
      <c r="D24" s="1"/>
      <c r="E24" s="1"/>
      <c r="F24" s="1"/>
      <c r="H24" s="5"/>
      <c r="I24" s="5"/>
      <c r="J24" s="5"/>
      <c r="K24" s="5"/>
      <c r="L24" s="5"/>
      <c r="M24" s="5"/>
      <c r="N24" s="5"/>
      <c r="O24" s="5"/>
    </row>
    <row r="25" spans="2:15">
      <c r="B25" s="1" t="s">
        <v>117</v>
      </c>
      <c r="C25" s="1"/>
      <c r="D25" s="1"/>
      <c r="E25" s="1"/>
      <c r="F25" s="1"/>
      <c r="H25" s="5" t="s">
        <v>118</v>
      </c>
      <c r="I25" s="5"/>
      <c r="J25" s="5"/>
      <c r="K25" s="5"/>
      <c r="L25" s="5"/>
      <c r="M25" s="5" t="s">
        <v>119</v>
      </c>
      <c r="N25" s="5"/>
      <c r="O25" s="5"/>
    </row>
    <row r="26" spans="2:15">
      <c r="B26" s="1">
        <v>1.57</v>
      </c>
      <c r="C26" s="1"/>
      <c r="D26" s="1"/>
      <c r="E26" s="1"/>
      <c r="F26" s="1"/>
      <c r="H26" s="5">
        <f>(B14*10^-3)/4</f>
        <v>8.25E-5</v>
      </c>
      <c r="I26" s="5"/>
      <c r="J26" s="5"/>
      <c r="K26" s="5"/>
      <c r="L26" s="5"/>
      <c r="M26" s="5">
        <f t="array" ref="M26:O28">MMULT(M21:O23,M16:O18)</f>
        <v>1.2961552433360924E-5</v>
      </c>
      <c r="N26" s="5">
        <v>3.2064805615518066E-21</v>
      </c>
      <c r="O26" s="5">
        <v>1.4280874453678054E-21</v>
      </c>
    </row>
    <row r="27" spans="2:15">
      <c r="B27" s="1" t="s">
        <v>120</v>
      </c>
      <c r="C27" s="1"/>
      <c r="D27" s="1"/>
      <c r="E27" s="1"/>
      <c r="F27" s="1"/>
      <c r="H27" s="5"/>
      <c r="I27" s="5"/>
      <c r="J27" s="5"/>
      <c r="K27" s="5"/>
      <c r="L27" s="5"/>
      <c r="M27" s="5">
        <v>3.206480561551807E-21</v>
      </c>
      <c r="N27" s="5">
        <v>6.5305911987582755E-5</v>
      </c>
      <c r="O27" s="5">
        <v>2.331288815891821E-5</v>
      </c>
    </row>
    <row r="28" spans="2:15">
      <c r="B28" s="1">
        <f>0.5</f>
        <v>0.5</v>
      </c>
      <c r="C28" s="1"/>
      <c r="D28" s="1"/>
      <c r="E28" s="1"/>
      <c r="F28" s="1"/>
      <c r="H28" s="5" t="s">
        <v>121</v>
      </c>
      <c r="I28" s="5"/>
      <c r="J28" s="5"/>
      <c r="K28" s="5"/>
      <c r="L28" s="5"/>
      <c r="M28" s="5">
        <v>1.4280874453678058E-21</v>
      </c>
      <c r="N28" s="5">
        <v>2.331288815891821E-5</v>
      </c>
      <c r="O28" s="5">
        <v>9.222531649586087E-5</v>
      </c>
    </row>
    <row r="29" spans="2:15">
      <c r="H29" s="5">
        <f>RADIANS(B4/3600)</f>
        <v>5.8177641733144322E-5</v>
      </c>
      <c r="I29" s="5"/>
      <c r="J29" s="5"/>
      <c r="K29" s="5"/>
      <c r="L29" s="5"/>
      <c r="M29" s="5"/>
      <c r="N29" s="5"/>
      <c r="O29" s="5"/>
    </row>
    <row r="30" spans="2:15">
      <c r="H30" s="5" t="s">
        <v>122</v>
      </c>
      <c r="I30" s="5"/>
      <c r="J30" s="5"/>
      <c r="K30" s="5"/>
      <c r="L30" s="5"/>
      <c r="M30" s="5" t="s">
        <v>123</v>
      </c>
      <c r="N30" s="5"/>
      <c r="O30" s="5"/>
    </row>
    <row r="31" spans="2:15">
      <c r="B31" s="11" t="s">
        <v>124</v>
      </c>
      <c r="C31" s="11"/>
      <c r="D31" s="11"/>
      <c r="E31" s="11"/>
      <c r="F31" s="11"/>
      <c r="H31" s="5">
        <f>RADIANS(B6/3600)</f>
        <v>5.8177641733144322E-5</v>
      </c>
      <c r="I31" s="5"/>
      <c r="J31" s="5"/>
      <c r="K31" s="5"/>
      <c r="L31" s="5"/>
      <c r="M31" s="5" t="s">
        <v>17</v>
      </c>
      <c r="N31" s="5" t="s">
        <v>18</v>
      </c>
      <c r="O31" s="5" t="s">
        <v>125</v>
      </c>
    </row>
    <row r="32" spans="2:15">
      <c r="B32" s="11" t="s">
        <v>126</v>
      </c>
      <c r="C32" s="11"/>
      <c r="D32" s="11"/>
      <c r="E32" s="11"/>
      <c r="F32" s="11"/>
      <c r="H32" s="5" t="s">
        <v>127</v>
      </c>
      <c r="I32" s="5"/>
      <c r="J32" s="5"/>
      <c r="K32" s="5"/>
      <c r="L32" s="5"/>
      <c r="M32" s="13">
        <f>SQRT(M26)</f>
        <v>3.6002156092879945E-3</v>
      </c>
      <c r="N32" s="13">
        <f>SQRT(N27)</f>
        <v>8.0812073347726176E-3</v>
      </c>
      <c r="O32" s="13">
        <f>SQRT(O28)</f>
        <v>9.6034012982828577E-3</v>
      </c>
    </row>
    <row r="33" spans="2:15">
      <c r="B33" s="11">
        <v>71</v>
      </c>
      <c r="C33" s="11"/>
      <c r="D33" s="11"/>
      <c r="E33" s="11"/>
      <c r="F33" s="11"/>
      <c r="H33" s="5">
        <f>RADIANS(B8/3600)</f>
        <v>9.6962736221907197E-6</v>
      </c>
      <c r="I33" s="5"/>
      <c r="J33" s="5"/>
      <c r="K33" s="5"/>
      <c r="L33" s="5"/>
      <c r="M33" s="5"/>
      <c r="N33" s="5"/>
      <c r="O33" s="5"/>
    </row>
    <row r="34" spans="2:15">
      <c r="H34" s="5"/>
      <c r="I34" s="5"/>
      <c r="J34" s="5"/>
      <c r="K34" s="5"/>
      <c r="L34" s="5"/>
      <c r="M34" s="5" t="s">
        <v>95</v>
      </c>
      <c r="N34" s="5"/>
      <c r="O34" s="5"/>
    </row>
    <row r="35" spans="2:15">
      <c r="H35" s="5" t="s">
        <v>128</v>
      </c>
      <c r="I35" s="5"/>
      <c r="J35" s="5"/>
      <c r="K35" s="5"/>
      <c r="L35" s="5"/>
      <c r="M35" s="13">
        <f>SQRT(M32^2+N32^2+O32^2)</f>
        <v>1.3057288421291941E-2</v>
      </c>
      <c r="N35" s="5"/>
      <c r="O35" s="5"/>
    </row>
    <row r="36" spans="2:15">
      <c r="H36" s="5">
        <f>SQRT(H29^2+H26^2+H33^2)</f>
        <v>1.014145242052956E-4</v>
      </c>
      <c r="I36" s="5"/>
      <c r="J36" s="5"/>
      <c r="K36" s="5"/>
      <c r="L36" s="5"/>
      <c r="M36" s="5"/>
      <c r="N36" s="5"/>
      <c r="O36" s="5"/>
    </row>
    <row r="37" spans="2:15">
      <c r="H37" s="5" t="s">
        <v>129</v>
      </c>
      <c r="I37" s="5"/>
      <c r="J37" s="5"/>
      <c r="K37" s="5"/>
      <c r="L37" s="5"/>
      <c r="M37" s="5"/>
      <c r="N37" s="5"/>
      <c r="O37" s="5"/>
    </row>
    <row r="38" spans="2:15">
      <c r="H38" s="5">
        <f>SQRT(H31^2+H26^2+H33^2)</f>
        <v>1.014145242052956E-4</v>
      </c>
      <c r="I38" s="5"/>
      <c r="J38" s="5"/>
      <c r="K38" s="5"/>
      <c r="L38" s="5"/>
      <c r="M38" s="5"/>
      <c r="N38" s="5"/>
      <c r="O38" s="5"/>
    </row>
    <row r="39" spans="2:15">
      <c r="H39" s="5"/>
      <c r="I39" s="5"/>
      <c r="J39" s="5"/>
      <c r="K39" s="5"/>
      <c r="L39" s="5"/>
      <c r="M39" s="5"/>
      <c r="N39" s="5"/>
      <c r="O39" s="5"/>
    </row>
    <row r="40" spans="2:15">
      <c r="H40" s="5" t="s">
        <v>130</v>
      </c>
      <c r="I40" s="5"/>
      <c r="J40" s="5"/>
      <c r="K40" s="5"/>
      <c r="L40" s="5"/>
      <c r="M40" s="5"/>
      <c r="N40" s="5"/>
      <c r="O40" s="5"/>
    </row>
    <row r="41" spans="2:15">
      <c r="H41" s="5">
        <f>B33*((B14*10^-3)/4)*TAN(RADIANS(B23))</f>
        <v>1.0145487605334695E-2</v>
      </c>
      <c r="I41" s="5"/>
      <c r="J41" s="5"/>
      <c r="K41" s="5"/>
      <c r="L41" s="5"/>
      <c r="M41" s="5"/>
      <c r="N41" s="5"/>
      <c r="O41" s="5"/>
    </row>
    <row r="42" spans="2:15">
      <c r="H42" s="5" t="s">
        <v>131</v>
      </c>
      <c r="I42" s="5"/>
      <c r="J42" s="5"/>
      <c r="K42" s="5"/>
      <c r="L42" s="5"/>
      <c r="M42" s="5"/>
      <c r="N42" s="5"/>
      <c r="O42" s="5"/>
    </row>
    <row r="43" spans="2:15">
      <c r="H43" s="5">
        <f>SQRT((B10/1000)^2+(B33*B12*10^-6)^2+H41^2)</f>
        <v>1.0280321918597683E-2</v>
      </c>
      <c r="I43" s="5"/>
      <c r="J43" s="5"/>
      <c r="K43" s="5"/>
      <c r="L43" s="5"/>
      <c r="M43" s="5"/>
      <c r="N43" s="5"/>
      <c r="O43" s="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EDC26-B477-405B-8F04-7AD1572863CB}">
  <dimension ref="B2:N12"/>
  <sheetViews>
    <sheetView workbookViewId="0">
      <selection activeCell="E25" sqref="E25"/>
    </sheetView>
  </sheetViews>
  <sheetFormatPr defaultRowHeight="15"/>
  <sheetData>
    <row r="2" spans="2:14">
      <c r="B2" s="1" t="s">
        <v>0</v>
      </c>
      <c r="C2" s="1"/>
      <c r="D2" s="1"/>
      <c r="F2" s="5" t="s">
        <v>50</v>
      </c>
      <c r="G2" s="5"/>
      <c r="H2" s="5"/>
      <c r="I2" s="5"/>
      <c r="J2" s="5"/>
      <c r="L2" s="2" t="s">
        <v>2</v>
      </c>
      <c r="M2" s="2"/>
      <c r="N2" s="2"/>
    </row>
    <row r="3" spans="2:14">
      <c r="B3" s="1" t="s">
        <v>132</v>
      </c>
      <c r="C3" s="1"/>
      <c r="D3" s="1"/>
      <c r="F3" s="5"/>
      <c r="G3" s="5"/>
      <c r="H3" s="5"/>
      <c r="I3" s="5"/>
      <c r="J3" s="5"/>
      <c r="L3" s="2" t="s">
        <v>133</v>
      </c>
      <c r="M3" s="2"/>
      <c r="N3" s="2"/>
    </row>
    <row r="4" spans="2:14">
      <c r="B4" s="1">
        <v>71</v>
      </c>
      <c r="C4" s="1"/>
      <c r="D4" s="1"/>
      <c r="F4" s="5" t="s">
        <v>134</v>
      </c>
      <c r="G4" s="5"/>
      <c r="H4" s="5"/>
      <c r="I4" s="5"/>
      <c r="J4" s="5"/>
      <c r="L4" s="2" t="s">
        <v>135</v>
      </c>
      <c r="M4" s="2" t="s">
        <v>136</v>
      </c>
      <c r="N4" s="2" t="s">
        <v>137</v>
      </c>
    </row>
    <row r="5" spans="2:14">
      <c r="B5" s="1" t="s">
        <v>107</v>
      </c>
      <c r="C5" s="1"/>
      <c r="D5" s="1"/>
      <c r="F5" s="6">
        <f>B6*(100/B4)</f>
        <v>1.8450704225352113</v>
      </c>
      <c r="G5" s="5"/>
      <c r="H5" s="5"/>
      <c r="I5" s="5"/>
      <c r="J5" s="5"/>
      <c r="L5" s="2">
        <f>TRUNC(F11/3600)</f>
        <v>0</v>
      </c>
      <c r="M5" s="2">
        <f>TRUNC(((F11/3600)-L5)*60)</f>
        <v>11</v>
      </c>
      <c r="N5" s="2">
        <f>ROUNDUP(((F11/60)-M5)*60,0)</f>
        <v>12</v>
      </c>
    </row>
    <row r="6" spans="2:14">
      <c r="B6" s="1">
        <v>1.31</v>
      </c>
      <c r="C6" s="1"/>
      <c r="D6" s="1"/>
      <c r="F6" s="5"/>
      <c r="G6" s="5"/>
      <c r="H6" s="5"/>
      <c r="I6" s="5"/>
      <c r="J6" s="5"/>
    </row>
    <row r="7" spans="2:14">
      <c r="F7" s="5" t="s">
        <v>138</v>
      </c>
      <c r="G7" s="5"/>
      <c r="H7" s="5"/>
      <c r="I7" s="5"/>
      <c r="J7" s="5"/>
    </row>
    <row r="8" spans="2:14">
      <c r="F8" s="6">
        <f>ROUND(F5,2)</f>
        <v>1.85</v>
      </c>
      <c r="G8" s="5"/>
      <c r="H8" s="5"/>
      <c r="I8" s="5"/>
      <c r="J8" s="5"/>
    </row>
    <row r="9" spans="2:14">
      <c r="F9" s="5"/>
      <c r="G9" s="5"/>
      <c r="H9" s="5"/>
      <c r="I9" s="5"/>
      <c r="J9" s="5"/>
    </row>
    <row r="10" spans="2:14">
      <c r="F10" s="5" t="s">
        <v>139</v>
      </c>
      <c r="G10" s="5"/>
      <c r="H10" s="5"/>
      <c r="I10" s="5"/>
      <c r="J10" s="5"/>
    </row>
    <row r="11" spans="2:14">
      <c r="F11" s="5">
        <f>1394.7*F8^-1.189</f>
        <v>671.14076071250145</v>
      </c>
      <c r="G11" s="5"/>
      <c r="H11" s="5"/>
      <c r="I11" s="5"/>
      <c r="J11" s="5"/>
    </row>
    <row r="12" spans="2:14">
      <c r="F12" s="5"/>
      <c r="G12" s="5"/>
      <c r="H12" s="5">
        <f>F11/3600</f>
        <v>0.18642798908680597</v>
      </c>
      <c r="I12" s="5"/>
      <c r="J12" s="5"/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7cf48d45-3ddb-4389-a9c1-c115526eb52e}" enabled="0" method="" siteId="{7cf48d45-3ddb-4389-a9c1-c115526eb52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Bolkas, Dimitrios</dc:creator>
  <cp:keywords/>
  <dc:description/>
  <cp:lastModifiedBy>i:0#.f|membership|dxb80@psu.edu</cp:lastModifiedBy>
  <cp:revision/>
  <dcterms:created xsi:type="dcterms:W3CDTF">2024-07-23T06:31:54Z</dcterms:created>
  <dcterms:modified xsi:type="dcterms:W3CDTF">2025-11-24T02:09:59Z</dcterms:modified>
  <cp:category/>
  <cp:contentStatus/>
</cp:coreProperties>
</file>